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040" windowWidth="19440" windowHeight="6750"/>
  </bookViews>
  <sheets>
    <sheet name="РФ" sheetId="1" r:id="rId1"/>
    <sheet name=" иностранцы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11" i="2" l="1"/>
  <c r="H111" i="2"/>
  <c r="G111" i="2"/>
  <c r="F111" i="2"/>
  <c r="F112" i="1"/>
  <c r="G112" i="1"/>
  <c r="H112" i="1"/>
  <c r="G182" i="1" l="1"/>
  <c r="G181" i="1"/>
  <c r="F181" i="1"/>
  <c r="E181" i="1"/>
  <c r="G180" i="1"/>
  <c r="F179" i="1"/>
  <c r="E179" i="1"/>
  <c r="D179" i="1"/>
  <c r="G178" i="1"/>
  <c r="F178" i="1"/>
  <c r="E178" i="1"/>
  <c r="D178" i="1"/>
  <c r="G177" i="1"/>
  <c r="F177" i="1"/>
  <c r="E177" i="1"/>
  <c r="D177" i="1"/>
  <c r="G176" i="1"/>
  <c r="F176" i="1"/>
  <c r="E176" i="1"/>
  <c r="D176" i="1"/>
  <c r="G175" i="1"/>
  <c r="F175" i="1"/>
  <c r="E175" i="1"/>
  <c r="D175" i="1"/>
  <c r="G174" i="1"/>
  <c r="F174" i="1"/>
  <c r="E174" i="1"/>
  <c r="D174" i="1"/>
  <c r="F173" i="1"/>
  <c r="E173" i="1"/>
  <c r="D173" i="1"/>
  <c r="G172" i="1"/>
  <c r="F172" i="1"/>
  <c r="E172" i="1"/>
  <c r="D172" i="1"/>
  <c r="G171" i="1"/>
  <c r="F171" i="1"/>
  <c r="E171" i="1"/>
  <c r="D171" i="1"/>
  <c r="F170" i="1"/>
  <c r="E170" i="1"/>
  <c r="D170" i="1"/>
  <c r="G169" i="1"/>
  <c r="E168" i="1"/>
  <c r="D168" i="1"/>
  <c r="G167" i="1"/>
  <c r="F167" i="1"/>
  <c r="E167" i="1"/>
  <c r="D167" i="1"/>
  <c r="D166" i="1"/>
  <c r="G165" i="1"/>
  <c r="F165" i="1"/>
  <c r="E165" i="1"/>
  <c r="D164" i="1"/>
  <c r="G163" i="1"/>
  <c r="F163" i="1"/>
  <c r="E163" i="1"/>
  <c r="G162" i="1"/>
  <c r="F162" i="1"/>
  <c r="E162" i="1"/>
  <c r="D162" i="1"/>
  <c r="G161" i="1"/>
  <c r="F161" i="1"/>
  <c r="E161" i="1"/>
  <c r="D161" i="1"/>
  <c r="F160" i="1"/>
  <c r="E160" i="1"/>
  <c r="D160" i="1"/>
  <c r="G159" i="1"/>
  <c r="F159" i="1"/>
  <c r="E159" i="1"/>
  <c r="G158" i="1"/>
  <c r="F158" i="1"/>
  <c r="E158" i="1"/>
  <c r="D158" i="1"/>
  <c r="F157" i="1"/>
  <c r="E157" i="1"/>
  <c r="D157" i="1"/>
  <c r="G156" i="1"/>
  <c r="F156" i="1"/>
  <c r="E156" i="1"/>
  <c r="G155" i="1"/>
  <c r="F155" i="1"/>
  <c r="E155" i="1"/>
  <c r="D155" i="1"/>
  <c r="E154" i="1"/>
  <c r="D154" i="1"/>
  <c r="E153" i="1"/>
  <c r="D153" i="1"/>
  <c r="D152" i="1"/>
  <c r="E151" i="1"/>
  <c r="D151" i="1"/>
  <c r="F150" i="1"/>
  <c r="E150" i="1"/>
  <c r="D150" i="1"/>
  <c r="F149" i="1"/>
  <c r="E149" i="1"/>
  <c r="D149" i="1"/>
  <c r="L148" i="1"/>
  <c r="K148" i="1"/>
  <c r="J148" i="1"/>
  <c r="F148" i="1"/>
  <c r="E148" i="1"/>
  <c r="D148" i="1"/>
  <c r="F147" i="1"/>
  <c r="E147" i="1"/>
  <c r="D147" i="1"/>
  <c r="E146" i="1"/>
  <c r="D146" i="1"/>
  <c r="F145" i="1"/>
  <c r="E145" i="1"/>
  <c r="D145" i="1"/>
  <c r="E143" i="1" l="1"/>
  <c r="D143" i="1"/>
  <c r="H139" i="1" l="1"/>
  <c r="D126" i="1" l="1"/>
  <c r="D135" i="1" l="1"/>
  <c r="E134" i="1"/>
  <c r="D134" i="1"/>
  <c r="J85" i="1" l="1"/>
  <c r="K85" i="1" l="1"/>
  <c r="F79" i="1"/>
  <c r="W59" i="1"/>
  <c r="R50" i="1"/>
  <c r="M50" i="1"/>
  <c r="L84" i="2"/>
  <c r="G78" i="2"/>
  <c r="X58" i="2"/>
  <c r="S49" i="2"/>
  <c r="N49" i="2"/>
  <c r="E23" i="2" l="1"/>
  <c r="U14" i="1" l="1"/>
  <c r="D24" i="1"/>
  <c r="U102" i="1" l="1"/>
  <c r="J101" i="1"/>
  <c r="J100" i="1"/>
  <c r="U106" i="1"/>
  <c r="J103" i="1"/>
  <c r="U103" i="1"/>
  <c r="Z92" i="1"/>
  <c r="Z89" i="1"/>
  <c r="Z91" i="1"/>
  <c r="Z99" i="1"/>
  <c r="U99" i="1"/>
  <c r="U91" i="1"/>
  <c r="U92" i="1"/>
  <c r="U89" i="1"/>
  <c r="P97" i="1"/>
  <c r="P107" i="1"/>
  <c r="J109" i="1"/>
  <c r="J97" i="1"/>
  <c r="J107" i="1"/>
  <c r="D101" i="1"/>
  <c r="D100" i="1"/>
  <c r="D105" i="1"/>
  <c r="D112" i="1"/>
  <c r="D109" i="1"/>
  <c r="D89" i="1"/>
  <c r="D91" i="1"/>
  <c r="D107" i="1"/>
  <c r="E117" i="2"/>
  <c r="P121" i="1"/>
  <c r="P117" i="1"/>
  <c r="P116" i="1"/>
  <c r="P115" i="1"/>
  <c r="P113" i="1"/>
  <c r="J121" i="1"/>
  <c r="J113" i="1"/>
  <c r="J117" i="1"/>
  <c r="J116" i="1"/>
  <c r="J115" i="1"/>
  <c r="U120" i="1"/>
  <c r="Z120" i="1"/>
  <c r="D121" i="1"/>
  <c r="D118" i="1"/>
  <c r="D117" i="1"/>
  <c r="D120" i="1"/>
  <c r="D116" i="1"/>
  <c r="D114" i="1"/>
  <c r="D113" i="1"/>
  <c r="Z27" i="1"/>
  <c r="U27" i="1"/>
  <c r="D37" i="1"/>
  <c r="D33" i="1"/>
  <c r="D35" i="1"/>
  <c r="D31" i="1"/>
  <c r="D29" i="1"/>
  <c r="P36" i="1"/>
  <c r="P34" i="1"/>
  <c r="P30" i="1"/>
  <c r="P28" i="1"/>
  <c r="J36" i="1"/>
  <c r="J34" i="1"/>
  <c r="J30" i="1"/>
  <c r="J28" i="1"/>
  <c r="D27" i="1"/>
  <c r="D38" i="1"/>
  <c r="D36" i="1"/>
  <c r="D32" i="1"/>
  <c r="D34" i="1"/>
  <c r="D30" i="1"/>
  <c r="D28" i="1"/>
  <c r="U22" i="1"/>
  <c r="J11" i="1"/>
  <c r="J16" i="1"/>
  <c r="P16" i="1"/>
  <c r="J17" i="1"/>
  <c r="J25" i="1"/>
  <c r="Z18" i="1"/>
  <c r="U18" i="1"/>
  <c r="Z13" i="1"/>
  <c r="U13" i="1"/>
  <c r="P20" i="1"/>
  <c r="J20" i="1"/>
  <c r="D17" i="1"/>
  <c r="D25" i="1"/>
  <c r="D26" i="1"/>
  <c r="D11" i="1"/>
  <c r="D16" i="1"/>
  <c r="D13" i="1"/>
  <c r="D12" i="1"/>
  <c r="D20" i="1"/>
  <c r="D15" i="1"/>
  <c r="D19" i="1"/>
  <c r="D23" i="1"/>
  <c r="D18" i="1"/>
  <c r="D45" i="1"/>
  <c r="D43" i="1"/>
  <c r="D40" i="1"/>
  <c r="D41" i="1"/>
  <c r="D44" i="1"/>
  <c r="D42" i="1"/>
  <c r="D39" i="1"/>
  <c r="P82" i="1"/>
  <c r="P80" i="1"/>
  <c r="J82" i="1"/>
  <c r="J80" i="1"/>
  <c r="J79" i="1"/>
  <c r="J81" i="1"/>
  <c r="J83" i="1"/>
  <c r="J64" i="1"/>
  <c r="J66" i="1"/>
  <c r="P61" i="1"/>
  <c r="P69" i="1"/>
  <c r="P65" i="1"/>
  <c r="J69" i="1"/>
  <c r="J65" i="1"/>
  <c r="J61" i="1"/>
  <c r="D78" i="1"/>
  <c r="D76" i="1"/>
  <c r="D72" i="1"/>
  <c r="D70" i="1"/>
  <c r="D68" i="1"/>
  <c r="D66" i="1"/>
  <c r="D64" i="1"/>
  <c r="D62" i="1"/>
  <c r="D82" i="1"/>
  <c r="D80" i="1"/>
  <c r="D79" i="1"/>
  <c r="D77" i="1"/>
  <c r="D75" i="1"/>
  <c r="D74" i="1"/>
  <c r="D73" i="1"/>
  <c r="D71" i="1"/>
  <c r="D69" i="1"/>
  <c r="D67" i="1"/>
  <c r="D65" i="1"/>
  <c r="D63" i="1"/>
  <c r="D61" i="1"/>
  <c r="U59" i="1"/>
  <c r="P50" i="1"/>
  <c r="P48" i="1"/>
  <c r="P46" i="1"/>
  <c r="J55" i="1"/>
  <c r="J51" i="1"/>
  <c r="J50" i="1"/>
  <c r="J48" i="1"/>
  <c r="J46" i="1"/>
  <c r="D59" i="1"/>
  <c r="D55" i="1"/>
  <c r="D53" i="1"/>
  <c r="D51" i="1"/>
  <c r="D49" i="1"/>
  <c r="D47" i="1"/>
  <c r="D58" i="1"/>
  <c r="D57" i="1"/>
  <c r="D56" i="1"/>
  <c r="D54" i="1"/>
  <c r="D52" i="1"/>
  <c r="D50" i="1"/>
  <c r="D48" i="1"/>
  <c r="D46" i="1"/>
  <c r="J88" i="1"/>
  <c r="J86" i="1"/>
  <c r="D86" i="1"/>
  <c r="D88" i="1"/>
  <c r="P87" i="1"/>
  <c r="P85" i="1"/>
  <c r="J87" i="1"/>
  <c r="D84" i="1"/>
  <c r="D85" i="1"/>
  <c r="D87" i="1"/>
  <c r="H122" i="2"/>
  <c r="Q121" i="2"/>
  <c r="K121" i="2"/>
  <c r="F121" i="2"/>
  <c r="E121" i="2"/>
  <c r="AA119" i="2"/>
  <c r="Z119" i="2"/>
  <c r="W119" i="2"/>
  <c r="V119" i="2"/>
  <c r="H119" i="2"/>
  <c r="F119" i="2"/>
  <c r="E119" i="2"/>
  <c r="O118" i="2"/>
  <c r="F117" i="2"/>
  <c r="Q116" i="2"/>
  <c r="O116" i="2"/>
  <c r="N116" i="2"/>
  <c r="M116" i="2"/>
  <c r="L116" i="2"/>
  <c r="K116" i="2"/>
  <c r="H116" i="2"/>
  <c r="G116" i="2"/>
  <c r="F116" i="2"/>
  <c r="E116" i="2"/>
  <c r="Q115" i="2"/>
  <c r="O115" i="2"/>
  <c r="N115" i="2"/>
  <c r="M115" i="2"/>
  <c r="L115" i="2"/>
  <c r="K115" i="2"/>
  <c r="H115" i="2"/>
  <c r="G115" i="2"/>
  <c r="F115" i="2"/>
  <c r="E115" i="2"/>
  <c r="Q114" i="2"/>
  <c r="O114" i="2"/>
  <c r="N114" i="2"/>
  <c r="M114" i="2"/>
  <c r="L114" i="2"/>
  <c r="K114" i="2"/>
  <c r="H114" i="2"/>
  <c r="G114" i="2"/>
  <c r="F114" i="2"/>
  <c r="H113" i="2"/>
  <c r="G113" i="2"/>
  <c r="F113" i="2"/>
  <c r="E113" i="2"/>
  <c r="Q112" i="2"/>
  <c r="O112" i="2"/>
  <c r="N112" i="2"/>
  <c r="M112" i="2"/>
  <c r="L112" i="2"/>
  <c r="K112" i="2"/>
  <c r="H112" i="2"/>
  <c r="G112" i="2"/>
  <c r="F112" i="2"/>
  <c r="E112" i="2"/>
  <c r="E111" i="2"/>
  <c r="N110" i="2"/>
  <c r="H110" i="2"/>
  <c r="P109" i="2"/>
  <c r="O109" i="2"/>
  <c r="I109" i="2"/>
  <c r="P108" i="2"/>
  <c r="O108" i="2"/>
  <c r="N108" i="2"/>
  <c r="M108" i="2"/>
  <c r="L108" i="2"/>
  <c r="K108" i="2"/>
  <c r="I108" i="2"/>
  <c r="H108" i="2"/>
  <c r="G108" i="2"/>
  <c r="F108" i="2"/>
  <c r="E108" i="2"/>
  <c r="P107" i="2"/>
  <c r="O107" i="2"/>
  <c r="I107" i="2"/>
  <c r="R106" i="2"/>
  <c r="Q106" i="2"/>
  <c r="P106" i="2"/>
  <c r="O106" i="2"/>
  <c r="N106" i="2"/>
  <c r="M106" i="2"/>
  <c r="L106" i="2"/>
  <c r="K106" i="2"/>
  <c r="I106" i="2"/>
  <c r="H106" i="2"/>
  <c r="G106" i="2"/>
  <c r="F106" i="2"/>
  <c r="E106" i="2"/>
  <c r="X105" i="2"/>
  <c r="W105" i="2"/>
  <c r="V105" i="2"/>
  <c r="F105" i="2"/>
  <c r="M104" i="2"/>
  <c r="L104" i="2"/>
  <c r="F104" i="2"/>
  <c r="E104" i="2"/>
  <c r="M103" i="2"/>
  <c r="L103" i="2"/>
  <c r="W102" i="2"/>
  <c r="V102" i="2"/>
  <c r="M102" i="2"/>
  <c r="L102" i="2"/>
  <c r="K102" i="2"/>
  <c r="W101" i="2"/>
  <c r="V101" i="2"/>
  <c r="M101" i="2"/>
  <c r="M100" i="2"/>
  <c r="L100" i="2"/>
  <c r="K100" i="2"/>
  <c r="F100" i="2"/>
  <c r="E100" i="2"/>
  <c r="M99" i="2"/>
  <c r="L99" i="2"/>
  <c r="K99" i="2"/>
  <c r="F99" i="2"/>
  <c r="E99" i="2"/>
  <c r="AA98" i="2"/>
  <c r="Y98" i="2"/>
  <c r="X98" i="2"/>
  <c r="W98" i="2"/>
  <c r="V98" i="2"/>
  <c r="O98" i="2"/>
  <c r="H98" i="2"/>
  <c r="G98" i="2"/>
  <c r="F98" i="2"/>
  <c r="O97" i="2"/>
  <c r="N97" i="2"/>
  <c r="M97" i="2"/>
  <c r="L97" i="2"/>
  <c r="H97" i="2"/>
  <c r="F97" i="2"/>
  <c r="Q96" i="2"/>
  <c r="O96" i="2"/>
  <c r="N96" i="2"/>
  <c r="M96" i="2"/>
  <c r="L96" i="2"/>
  <c r="K96" i="2"/>
  <c r="H96" i="2"/>
  <c r="G96" i="2"/>
  <c r="F96" i="2"/>
  <c r="N95" i="2"/>
  <c r="M95" i="2"/>
  <c r="L95" i="2"/>
  <c r="H95" i="2"/>
  <c r="G95" i="2"/>
  <c r="F95" i="2"/>
  <c r="O94" i="2"/>
  <c r="N94" i="2"/>
  <c r="M94" i="2"/>
  <c r="L94" i="2"/>
  <c r="H94" i="2"/>
  <c r="G94" i="2"/>
  <c r="F94" i="2"/>
  <c r="O93" i="2"/>
  <c r="H93" i="2"/>
  <c r="G93" i="2"/>
  <c r="X92" i="2"/>
  <c r="AA91" i="2"/>
  <c r="Y91" i="2"/>
  <c r="X91" i="2"/>
  <c r="W91" i="2"/>
  <c r="V91" i="2"/>
  <c r="AB90" i="2"/>
  <c r="AA90" i="2"/>
  <c r="Y90" i="2"/>
  <c r="X90" i="2"/>
  <c r="W90" i="2"/>
  <c r="V90" i="2"/>
  <c r="O90" i="2"/>
  <c r="H90" i="2"/>
  <c r="G90" i="2"/>
  <c r="F90" i="2"/>
  <c r="E90" i="2"/>
  <c r="O89" i="2"/>
  <c r="H89" i="2"/>
  <c r="AD88" i="2"/>
  <c r="AC88" i="2"/>
  <c r="AB88" i="2"/>
  <c r="AA88" i="2"/>
  <c r="Y88" i="2"/>
  <c r="X88" i="2"/>
  <c r="W88" i="2"/>
  <c r="V88" i="2"/>
  <c r="O88" i="2"/>
  <c r="H88" i="2"/>
  <c r="G88" i="2"/>
  <c r="F88" i="2"/>
  <c r="E88" i="2"/>
  <c r="M87" i="2"/>
  <c r="L87" i="2"/>
  <c r="K87" i="2"/>
  <c r="F87" i="2"/>
  <c r="E87" i="2"/>
  <c r="Q86" i="2"/>
  <c r="O86" i="2"/>
  <c r="N86" i="2"/>
  <c r="M86" i="2"/>
  <c r="L86" i="2"/>
  <c r="K86" i="2"/>
  <c r="H86" i="2"/>
  <c r="G86" i="2"/>
  <c r="F86" i="2"/>
  <c r="E86" i="2"/>
  <c r="M85" i="2"/>
  <c r="L85" i="2"/>
  <c r="K85" i="2"/>
  <c r="F85" i="2"/>
  <c r="E85" i="2"/>
  <c r="Q84" i="2"/>
  <c r="O84" i="2"/>
  <c r="N84" i="2"/>
  <c r="M84" i="2"/>
  <c r="K84" i="2"/>
  <c r="H84" i="2"/>
  <c r="G84" i="2"/>
  <c r="F84" i="2"/>
  <c r="E84" i="2"/>
  <c r="J83" i="2"/>
  <c r="I83" i="2"/>
  <c r="H83" i="2"/>
  <c r="G83" i="2"/>
  <c r="F83" i="2"/>
  <c r="E83" i="2"/>
  <c r="M82" i="2"/>
  <c r="L82" i="2"/>
  <c r="K82" i="2"/>
  <c r="S81" i="2"/>
  <c r="R81" i="2"/>
  <c r="Q81" i="2"/>
  <c r="O81" i="2"/>
  <c r="K81" i="2"/>
  <c r="F81" i="2"/>
  <c r="E81" i="2"/>
  <c r="M80" i="2"/>
  <c r="L80" i="2"/>
  <c r="K80" i="2"/>
  <c r="T79" i="2"/>
  <c r="S79" i="2"/>
  <c r="R79" i="2"/>
  <c r="Q79" i="2"/>
  <c r="O79" i="2"/>
  <c r="K79" i="2"/>
  <c r="F79" i="2"/>
  <c r="E79" i="2"/>
  <c r="P78" i="2"/>
  <c r="O78" i="2"/>
  <c r="N78" i="2"/>
  <c r="M78" i="2"/>
  <c r="L78" i="2"/>
  <c r="K78" i="2"/>
  <c r="I78" i="2"/>
  <c r="H78" i="2"/>
  <c r="F78" i="2"/>
  <c r="E78" i="2"/>
  <c r="F77" i="2"/>
  <c r="E77" i="2"/>
  <c r="H76" i="2"/>
  <c r="G76" i="2"/>
  <c r="F76" i="2"/>
  <c r="E76" i="2"/>
  <c r="F75" i="2"/>
  <c r="E75" i="2"/>
  <c r="H74" i="2"/>
  <c r="G74" i="2"/>
  <c r="F74" i="2"/>
  <c r="E74" i="2"/>
  <c r="J73" i="2"/>
  <c r="I73" i="2"/>
  <c r="H73" i="2"/>
  <c r="G73" i="2"/>
  <c r="F73" i="2"/>
  <c r="E73" i="2"/>
  <c r="H72" i="2"/>
  <c r="G72" i="2"/>
  <c r="F72" i="2"/>
  <c r="E72" i="2"/>
  <c r="E71" i="2"/>
  <c r="E70" i="2"/>
  <c r="F69" i="2"/>
  <c r="E69" i="2"/>
  <c r="T68" i="2"/>
  <c r="S68" i="2"/>
  <c r="R68" i="2"/>
  <c r="Q68" i="2"/>
  <c r="K68" i="2"/>
  <c r="H68" i="2"/>
  <c r="G68" i="2"/>
  <c r="F68" i="2"/>
  <c r="E68" i="2"/>
  <c r="F67" i="2"/>
  <c r="E67" i="2"/>
  <c r="H66" i="2"/>
  <c r="G66" i="2"/>
  <c r="F66" i="2"/>
  <c r="E66" i="2"/>
  <c r="M65" i="2"/>
  <c r="L65" i="2"/>
  <c r="K65" i="2"/>
  <c r="F65" i="2"/>
  <c r="E65" i="2"/>
  <c r="T64" i="2"/>
  <c r="S64" i="2"/>
  <c r="R64" i="2"/>
  <c r="Q64" i="2"/>
  <c r="K64" i="2"/>
  <c r="H64" i="2"/>
  <c r="G64" i="2"/>
  <c r="F64" i="2"/>
  <c r="E64" i="2"/>
  <c r="K63" i="2"/>
  <c r="F63" i="2"/>
  <c r="E63" i="2"/>
  <c r="H62" i="2"/>
  <c r="G62" i="2"/>
  <c r="F62" i="2"/>
  <c r="E62" i="2"/>
  <c r="F61" i="2"/>
  <c r="E61" i="2"/>
  <c r="T60" i="2"/>
  <c r="S60" i="2"/>
  <c r="R60" i="2"/>
  <c r="Q60" i="2"/>
  <c r="K60" i="2"/>
  <c r="H60" i="2"/>
  <c r="G60" i="2"/>
  <c r="F60" i="2"/>
  <c r="E60" i="2"/>
  <c r="I59" i="2"/>
  <c r="W58" i="2"/>
  <c r="V58" i="2"/>
  <c r="F58" i="2"/>
  <c r="E58" i="2"/>
  <c r="H57" i="2"/>
  <c r="G57" i="2"/>
  <c r="F57" i="2"/>
  <c r="E57" i="2"/>
  <c r="I56" i="2"/>
  <c r="H56" i="2"/>
  <c r="G56" i="2"/>
  <c r="F56" i="2"/>
  <c r="E56" i="2"/>
  <c r="H55" i="2"/>
  <c r="G55" i="2"/>
  <c r="F55" i="2"/>
  <c r="E55" i="2"/>
  <c r="K54" i="2"/>
  <c r="F54" i="2"/>
  <c r="E54" i="2"/>
  <c r="H53" i="2"/>
  <c r="G53" i="2"/>
  <c r="F53" i="2"/>
  <c r="E53" i="2"/>
  <c r="F52" i="2"/>
  <c r="E52" i="2"/>
  <c r="H51" i="2"/>
  <c r="G51" i="2"/>
  <c r="F51" i="2"/>
  <c r="E51" i="2"/>
  <c r="K50" i="2"/>
  <c r="F50" i="2"/>
  <c r="E50" i="2"/>
  <c r="R49" i="2"/>
  <c r="Q49" i="2"/>
  <c r="K49" i="2"/>
  <c r="H49" i="2"/>
  <c r="G49" i="2"/>
  <c r="F49" i="2"/>
  <c r="E49" i="2"/>
  <c r="F48" i="2"/>
  <c r="E48" i="2"/>
  <c r="T47" i="2"/>
  <c r="S47" i="2"/>
  <c r="R47" i="2"/>
  <c r="Q47" i="2"/>
  <c r="K47" i="2"/>
  <c r="H47" i="2"/>
  <c r="G47" i="2"/>
  <c r="F47" i="2"/>
  <c r="E47" i="2"/>
  <c r="F46" i="2"/>
  <c r="E46" i="2"/>
  <c r="Q45" i="2"/>
  <c r="M45" i="2"/>
  <c r="L45" i="2"/>
  <c r="K45" i="2"/>
  <c r="H45" i="2"/>
  <c r="G45" i="2"/>
  <c r="F45" i="2"/>
  <c r="E45" i="2"/>
  <c r="E44" i="2"/>
  <c r="H43" i="2"/>
  <c r="G43" i="2"/>
  <c r="F43" i="2"/>
  <c r="E43" i="2"/>
  <c r="F42" i="2"/>
  <c r="E42" i="2"/>
  <c r="H41" i="2"/>
  <c r="G41" i="2"/>
  <c r="F41" i="2"/>
  <c r="E41" i="2"/>
  <c r="H40" i="2"/>
  <c r="G40" i="2"/>
  <c r="F40" i="2"/>
  <c r="E40" i="2"/>
  <c r="F39" i="2"/>
  <c r="E39" i="2"/>
  <c r="H38" i="2"/>
  <c r="G38" i="2"/>
  <c r="F38" i="2"/>
  <c r="E38" i="2"/>
  <c r="H37" i="2"/>
  <c r="G37" i="2"/>
  <c r="F37" i="2"/>
  <c r="E37" i="2"/>
  <c r="F36" i="2"/>
  <c r="E36" i="2"/>
  <c r="Q35" i="2"/>
  <c r="O35" i="2"/>
  <c r="N35" i="2"/>
  <c r="M35" i="2"/>
  <c r="L35" i="2"/>
  <c r="K35" i="2"/>
  <c r="H35" i="2"/>
  <c r="G35" i="2"/>
  <c r="F35" i="2"/>
  <c r="E35" i="2"/>
  <c r="F34" i="2"/>
  <c r="E34" i="2"/>
  <c r="Q33" i="2"/>
  <c r="L33" i="2"/>
  <c r="K33" i="2"/>
  <c r="H33" i="2"/>
  <c r="G33" i="2"/>
  <c r="F33" i="2"/>
  <c r="E33" i="2"/>
  <c r="F32" i="2"/>
  <c r="E32" i="2"/>
  <c r="H31" i="2"/>
  <c r="G31" i="2"/>
  <c r="F31" i="2"/>
  <c r="E31" i="2"/>
  <c r="F30" i="2"/>
  <c r="E30" i="2"/>
  <c r="T29" i="2"/>
  <c r="S29" i="2"/>
  <c r="R29" i="2"/>
  <c r="Q29" i="2"/>
  <c r="O29" i="2"/>
  <c r="N29" i="2"/>
  <c r="M29" i="2"/>
  <c r="L29" i="2"/>
  <c r="K29" i="2"/>
  <c r="H29" i="2"/>
  <c r="G29" i="2"/>
  <c r="F29" i="2"/>
  <c r="E29" i="2"/>
  <c r="F28" i="2"/>
  <c r="E28" i="2"/>
  <c r="Q27" i="2"/>
  <c r="N27" i="2"/>
  <c r="M27" i="2"/>
  <c r="L27" i="2"/>
  <c r="K27" i="2"/>
  <c r="H27" i="2"/>
  <c r="G27" i="2"/>
  <c r="F27" i="2"/>
  <c r="E27" i="2"/>
  <c r="AA26" i="2"/>
  <c r="Y26" i="2"/>
  <c r="X26" i="2"/>
  <c r="W26" i="2"/>
  <c r="V26" i="2"/>
  <c r="O26" i="2"/>
  <c r="H26" i="2"/>
  <c r="G26" i="2"/>
  <c r="F26" i="2"/>
  <c r="E26" i="2"/>
  <c r="F25" i="2"/>
  <c r="E25" i="2"/>
  <c r="M24" i="2"/>
  <c r="L24" i="2"/>
  <c r="K24" i="2"/>
  <c r="F24" i="2"/>
  <c r="E24" i="2"/>
  <c r="I23" i="2"/>
  <c r="H23" i="2"/>
  <c r="G23" i="2"/>
  <c r="F23" i="2"/>
  <c r="I22" i="2"/>
  <c r="H22" i="2"/>
  <c r="G22" i="2"/>
  <c r="F22" i="2"/>
  <c r="E22" i="2"/>
  <c r="W21" i="2"/>
  <c r="V21" i="2"/>
  <c r="O20" i="2"/>
  <c r="H20" i="2"/>
  <c r="G20" i="2"/>
  <c r="Q19" i="2"/>
  <c r="O19" i="2"/>
  <c r="N19" i="2"/>
  <c r="M19" i="2"/>
  <c r="L19" i="2"/>
  <c r="K19" i="2"/>
  <c r="H19" i="2"/>
  <c r="G19" i="2"/>
  <c r="F19" i="2"/>
  <c r="E19" i="2"/>
  <c r="J18" i="2"/>
  <c r="I18" i="2"/>
  <c r="H18" i="2"/>
  <c r="G18" i="2"/>
  <c r="F18" i="2"/>
  <c r="E18" i="2"/>
  <c r="AC17" i="2"/>
  <c r="AB17" i="2"/>
  <c r="AA17" i="2"/>
  <c r="V17" i="2"/>
  <c r="T17" i="2"/>
  <c r="O17" i="2"/>
  <c r="H17" i="2"/>
  <c r="G17" i="2"/>
  <c r="F17" i="2"/>
  <c r="E17" i="2"/>
  <c r="M16" i="2"/>
  <c r="L16" i="2"/>
  <c r="K16" i="2"/>
  <c r="F16" i="2"/>
  <c r="E16" i="2"/>
  <c r="Q15" i="2"/>
  <c r="O15" i="2"/>
  <c r="M15" i="2"/>
  <c r="L15" i="2"/>
  <c r="K15" i="2"/>
  <c r="H15" i="2"/>
  <c r="G15" i="2"/>
  <c r="F15" i="2"/>
  <c r="E15" i="2"/>
  <c r="H14" i="2"/>
  <c r="G14" i="2"/>
  <c r="F14" i="2"/>
  <c r="E14" i="2"/>
  <c r="V13" i="2"/>
  <c r="AD12" i="2"/>
  <c r="AC12" i="2"/>
  <c r="AB12" i="2"/>
  <c r="AA12" i="2"/>
  <c r="Z12" i="2"/>
  <c r="V12" i="2"/>
  <c r="H12" i="2"/>
  <c r="G12" i="2"/>
  <c r="F12" i="2"/>
  <c r="E12" i="2"/>
  <c r="N11" i="2"/>
  <c r="G11" i="2"/>
  <c r="F11" i="2"/>
  <c r="E11" i="2"/>
  <c r="P10" i="2"/>
  <c r="O10" i="2"/>
  <c r="N10" i="2"/>
  <c r="M10" i="2"/>
  <c r="L10" i="2"/>
  <c r="K10" i="2"/>
  <c r="I10" i="2"/>
  <c r="H10" i="2"/>
  <c r="G10" i="2"/>
  <c r="F10" i="2"/>
  <c r="E10" i="2"/>
  <c r="Y120" i="1" l="1"/>
  <c r="V120" i="1"/>
  <c r="N117" i="1" l="1"/>
  <c r="M117" i="1"/>
  <c r="L117" i="1"/>
  <c r="K117" i="1"/>
  <c r="N115" i="1"/>
  <c r="M115" i="1"/>
  <c r="L115" i="1"/>
  <c r="K115" i="1"/>
  <c r="N119" i="1"/>
  <c r="N113" i="1"/>
  <c r="M113" i="1"/>
  <c r="L113" i="1"/>
  <c r="K113" i="1"/>
  <c r="N116" i="1"/>
  <c r="M116" i="1"/>
  <c r="L116" i="1"/>
  <c r="K116" i="1"/>
  <c r="E118" i="1"/>
  <c r="E121" i="1"/>
  <c r="G117" i="1"/>
  <c r="F117" i="1"/>
  <c r="E117" i="1"/>
  <c r="G115" i="1"/>
  <c r="F115" i="1"/>
  <c r="E115" i="1"/>
  <c r="G116" i="1"/>
  <c r="F116" i="1"/>
  <c r="E116" i="1"/>
  <c r="G113" i="1"/>
  <c r="F113" i="1"/>
  <c r="E113" i="1"/>
  <c r="G114" i="1"/>
  <c r="F114" i="1"/>
  <c r="E114" i="1"/>
  <c r="G120" i="1" l="1"/>
  <c r="E120" i="1"/>
  <c r="G142" i="1"/>
  <c r="F142" i="1"/>
  <c r="E142" i="1"/>
  <c r="F144" i="1"/>
  <c r="G141" i="1"/>
  <c r="F141" i="1"/>
  <c r="E141" i="1"/>
  <c r="G137" i="1"/>
  <c r="F137" i="1"/>
  <c r="E137" i="1"/>
  <c r="G139" i="1"/>
  <c r="G138" i="1"/>
  <c r="F138" i="1"/>
  <c r="E138" i="1"/>
  <c r="F140" i="1"/>
  <c r="D142" i="1"/>
  <c r="D141" i="1"/>
  <c r="D138" i="1"/>
  <c r="D137" i="1"/>
  <c r="G130" i="1"/>
  <c r="F131" i="1"/>
  <c r="E131" i="1"/>
  <c r="F132" i="1"/>
  <c r="E132" i="1"/>
  <c r="G129" i="1"/>
  <c r="F129" i="1"/>
  <c r="E129" i="1"/>
  <c r="G127" i="1"/>
  <c r="F127" i="1"/>
  <c r="E127" i="1"/>
  <c r="G125" i="1"/>
  <c r="F125" i="1"/>
  <c r="E125" i="1"/>
  <c r="G122" i="1"/>
  <c r="F122" i="1"/>
  <c r="E122" i="1"/>
  <c r="G123" i="1"/>
  <c r="F123" i="1"/>
  <c r="E124" i="1"/>
  <c r="D133" i="1" l="1"/>
  <c r="D132" i="1"/>
  <c r="D131" i="1"/>
  <c r="D129" i="1"/>
  <c r="D128" i="1"/>
  <c r="D124" i="1"/>
  <c r="D127" i="1"/>
  <c r="D122" i="1"/>
  <c r="E43" i="1" l="1"/>
  <c r="E40" i="1"/>
  <c r="G41" i="1"/>
  <c r="F41" i="1"/>
  <c r="E41" i="1"/>
  <c r="G44" i="1"/>
  <c r="F44" i="1"/>
  <c r="E44" i="1"/>
  <c r="G42" i="1"/>
  <c r="F42" i="1"/>
  <c r="E42" i="1"/>
  <c r="G39" i="1"/>
  <c r="F39" i="1"/>
  <c r="E39" i="1"/>
  <c r="X89" i="1" l="1"/>
  <c r="W89" i="1"/>
  <c r="V89" i="1"/>
  <c r="AC89" i="1"/>
  <c r="AB89" i="1"/>
  <c r="AA89" i="1"/>
  <c r="X92" i="1"/>
  <c r="W92" i="1"/>
  <c r="V92" i="1"/>
  <c r="X99" i="1"/>
  <c r="W99" i="1"/>
  <c r="V99" i="1"/>
  <c r="X91" i="1"/>
  <c r="W91" i="1"/>
  <c r="V91" i="1"/>
  <c r="AA91" i="1"/>
  <c r="W93" i="1"/>
  <c r="V102" i="1" l="1"/>
  <c r="V103" i="1"/>
  <c r="W106" i="1"/>
  <c r="V106" i="1"/>
  <c r="L102" i="1"/>
  <c r="L101" i="1"/>
  <c r="K101" i="1"/>
  <c r="L100" i="1"/>
  <c r="K100" i="1"/>
  <c r="L103" i="1"/>
  <c r="K103" i="1"/>
  <c r="L105" i="1"/>
  <c r="K105" i="1"/>
  <c r="L104" i="1"/>
  <c r="K104" i="1"/>
  <c r="E101" i="1"/>
  <c r="E100" i="1"/>
  <c r="E106" i="1"/>
  <c r="E105" i="1"/>
  <c r="Q107" i="1"/>
  <c r="M96" i="1"/>
  <c r="L96" i="1"/>
  <c r="K96" i="1"/>
  <c r="O109" i="1"/>
  <c r="N109" i="1"/>
  <c r="M109" i="1"/>
  <c r="L109" i="1"/>
  <c r="K109" i="1"/>
  <c r="O110" i="1"/>
  <c r="N110" i="1"/>
  <c r="M111" i="1"/>
  <c r="N90" i="1"/>
  <c r="N89" i="1"/>
  <c r="N94" i="1"/>
  <c r="N91" i="1"/>
  <c r="N98" i="1"/>
  <c r="M98" i="1"/>
  <c r="L98" i="1"/>
  <c r="K98" i="1"/>
  <c r="N97" i="1"/>
  <c r="M97" i="1"/>
  <c r="L97" i="1"/>
  <c r="K97" i="1"/>
  <c r="N99" i="1"/>
  <c r="O107" i="1"/>
  <c r="N107" i="1"/>
  <c r="M107" i="1"/>
  <c r="L107" i="1"/>
  <c r="K107" i="1"/>
  <c r="O108" i="1"/>
  <c r="N108" i="1"/>
  <c r="N95" i="1"/>
  <c r="M95" i="1"/>
  <c r="L95" i="1"/>
  <c r="K95" i="1"/>
  <c r="G96" i="1"/>
  <c r="F96" i="1"/>
  <c r="E96" i="1"/>
  <c r="H109" i="1"/>
  <c r="G109" i="1"/>
  <c r="F109" i="1"/>
  <c r="E109" i="1"/>
  <c r="H110" i="1"/>
  <c r="G111" i="1"/>
  <c r="G90" i="1"/>
  <c r="G89" i="1"/>
  <c r="E112" i="1"/>
  <c r="F89" i="1"/>
  <c r="E89" i="1"/>
  <c r="G94" i="1"/>
  <c r="F94" i="1"/>
  <c r="G91" i="1"/>
  <c r="F91" i="1"/>
  <c r="E91" i="1"/>
  <c r="G98" i="1"/>
  <c r="E98" i="1"/>
  <c r="G97" i="1"/>
  <c r="F97" i="1"/>
  <c r="E97" i="1"/>
  <c r="G99" i="1"/>
  <c r="F99" i="1"/>
  <c r="E99" i="1"/>
  <c r="H108" i="1"/>
  <c r="H107" i="1"/>
  <c r="G107" i="1"/>
  <c r="F107" i="1"/>
  <c r="E107" i="1"/>
  <c r="G95" i="1"/>
  <c r="F95" i="1"/>
  <c r="E95" i="1"/>
  <c r="X27" i="1"/>
  <c r="W27" i="1"/>
  <c r="V27" i="1"/>
  <c r="M28" i="1"/>
  <c r="N27" i="1"/>
  <c r="S30" i="1"/>
  <c r="R30" i="1"/>
  <c r="Q30" i="1"/>
  <c r="K34" i="1"/>
  <c r="L28" i="1"/>
  <c r="K28" i="1"/>
  <c r="N30" i="1"/>
  <c r="M30" i="1"/>
  <c r="L30" i="1"/>
  <c r="K30" i="1"/>
  <c r="N36" i="1"/>
  <c r="M36" i="1"/>
  <c r="L36" i="1"/>
  <c r="K36" i="1"/>
  <c r="E37" i="1"/>
  <c r="E33" i="1"/>
  <c r="E35" i="1"/>
  <c r="E31" i="1"/>
  <c r="E29" i="1"/>
  <c r="G27" i="1"/>
  <c r="F27" i="1"/>
  <c r="E27" i="1"/>
  <c r="G38" i="1"/>
  <c r="F38" i="1"/>
  <c r="E38" i="1"/>
  <c r="G36" i="1"/>
  <c r="F36" i="1"/>
  <c r="E36" i="1"/>
  <c r="G32" i="1"/>
  <c r="F32" i="1"/>
  <c r="E32" i="1"/>
  <c r="G34" i="1"/>
  <c r="F34" i="1"/>
  <c r="E34" i="1"/>
  <c r="G30" i="1"/>
  <c r="F30" i="1"/>
  <c r="E30" i="1"/>
  <c r="G28" i="1"/>
  <c r="F28" i="1"/>
  <c r="E28" i="1"/>
  <c r="AB18" i="1"/>
  <c r="AA18" i="1"/>
  <c r="AC13" i="1"/>
  <c r="AB13" i="1"/>
  <c r="AA13" i="1"/>
  <c r="Y13" i="1"/>
  <c r="V22" i="1"/>
  <c r="L17" i="1"/>
  <c r="K17" i="1"/>
  <c r="L25" i="1"/>
  <c r="K25" i="1"/>
  <c r="E26" i="1"/>
  <c r="E17" i="1"/>
  <c r="E25" i="1"/>
  <c r="S18" i="1"/>
  <c r="N16" i="1"/>
  <c r="L16" i="1"/>
  <c r="K16" i="1"/>
  <c r="M12" i="1"/>
  <c r="N18" i="1"/>
  <c r="O11" i="1"/>
  <c r="N11" i="1"/>
  <c r="M11" i="1"/>
  <c r="L11" i="1"/>
  <c r="K11" i="1"/>
  <c r="N20" i="1"/>
  <c r="M20" i="1"/>
  <c r="L20" i="1"/>
  <c r="K20" i="1"/>
  <c r="N21" i="1"/>
  <c r="F12" i="1"/>
  <c r="E12" i="1"/>
  <c r="G16" i="1"/>
  <c r="F16" i="1"/>
  <c r="E16" i="1"/>
  <c r="G13" i="1"/>
  <c r="F13" i="1"/>
  <c r="E13" i="1"/>
  <c r="G15" i="1"/>
  <c r="F15" i="1"/>
  <c r="E15" i="1"/>
  <c r="I19" i="1"/>
  <c r="H19" i="1"/>
  <c r="G19" i="1"/>
  <c r="E19" i="1"/>
  <c r="G18" i="1"/>
  <c r="F18" i="1"/>
  <c r="F19" i="1"/>
  <c r="E18" i="1"/>
  <c r="H23" i="1"/>
  <c r="G23" i="1"/>
  <c r="F23" i="1"/>
  <c r="E23" i="1"/>
  <c r="H24" i="1"/>
  <c r="G24" i="1"/>
  <c r="F24" i="1"/>
  <c r="E24" i="1"/>
  <c r="H11" i="1"/>
  <c r="G11" i="1"/>
  <c r="F11" i="1"/>
  <c r="E11" i="1"/>
  <c r="G21" i="1"/>
  <c r="F21" i="1"/>
  <c r="G20" i="1"/>
  <c r="F20" i="1"/>
  <c r="E20" i="1"/>
  <c r="L66" i="1" l="1"/>
  <c r="K66" i="1"/>
  <c r="L83" i="1"/>
  <c r="K83" i="1"/>
  <c r="L81" i="1"/>
  <c r="K81" i="1"/>
  <c r="R82" i="1"/>
  <c r="Q82" i="1"/>
  <c r="R80" i="1"/>
  <c r="S80" i="1"/>
  <c r="Q80" i="1"/>
  <c r="S69" i="1"/>
  <c r="R69" i="1"/>
  <c r="Q69" i="1"/>
  <c r="S65" i="1"/>
  <c r="R65" i="1"/>
  <c r="Q65" i="1"/>
  <c r="S61" i="1"/>
  <c r="R61" i="1"/>
  <c r="Q61" i="1"/>
  <c r="E78" i="1"/>
  <c r="E70" i="1"/>
  <c r="E68" i="1"/>
  <c r="E66" i="1"/>
  <c r="E62" i="1"/>
  <c r="E64" i="1"/>
  <c r="E76" i="1"/>
  <c r="N80" i="1"/>
  <c r="N82" i="1"/>
  <c r="O79" i="1"/>
  <c r="N79" i="1"/>
  <c r="M79" i="1"/>
  <c r="K79" i="1"/>
  <c r="L79" i="1"/>
  <c r="I74" i="1"/>
  <c r="H74" i="1"/>
  <c r="G74" i="1"/>
  <c r="F74" i="1"/>
  <c r="E74" i="1"/>
  <c r="G73" i="1"/>
  <c r="F73" i="1"/>
  <c r="E73" i="1"/>
  <c r="G65" i="1"/>
  <c r="F65" i="1"/>
  <c r="E65" i="1"/>
  <c r="G69" i="1"/>
  <c r="F69" i="1"/>
  <c r="E69" i="1"/>
  <c r="G67" i="1"/>
  <c r="F67" i="1"/>
  <c r="E67" i="1"/>
  <c r="G61" i="1"/>
  <c r="F61" i="1"/>
  <c r="E61" i="1"/>
  <c r="G63" i="1"/>
  <c r="F63" i="1"/>
  <c r="E63" i="1"/>
  <c r="G77" i="1"/>
  <c r="F77" i="1"/>
  <c r="E77" i="1"/>
  <c r="G75" i="1"/>
  <c r="F75" i="1"/>
  <c r="E75" i="1"/>
  <c r="E80" i="1"/>
  <c r="E82" i="1"/>
  <c r="H79" i="1"/>
  <c r="G79" i="1"/>
  <c r="E79" i="1"/>
  <c r="S48" i="1"/>
  <c r="R48" i="1"/>
  <c r="Q48" i="1"/>
  <c r="Q50" i="1"/>
  <c r="L46" i="1"/>
  <c r="K46" i="1"/>
  <c r="V59" i="1"/>
  <c r="E59" i="1"/>
  <c r="E55" i="1"/>
  <c r="E53" i="1"/>
  <c r="E51" i="1"/>
  <c r="E49" i="1"/>
  <c r="E47" i="1"/>
  <c r="H57" i="1"/>
  <c r="G57" i="1"/>
  <c r="F57" i="1"/>
  <c r="E57" i="1"/>
  <c r="G58" i="1"/>
  <c r="F58" i="1"/>
  <c r="E58" i="1"/>
  <c r="H60" i="1"/>
  <c r="G54" i="1"/>
  <c r="F54" i="1"/>
  <c r="E54" i="1"/>
  <c r="G46" i="1"/>
  <c r="F46" i="1"/>
  <c r="E46" i="1"/>
  <c r="G48" i="1"/>
  <c r="F48" i="1"/>
  <c r="E48" i="1"/>
  <c r="G50" i="1"/>
  <c r="F50" i="1"/>
  <c r="E50" i="1"/>
  <c r="G52" i="1"/>
  <c r="F52" i="1"/>
  <c r="E52" i="1"/>
  <c r="G56" i="1"/>
  <c r="F56" i="1"/>
  <c r="E56" i="1"/>
  <c r="N85" i="1"/>
  <c r="M85" i="1"/>
  <c r="L85" i="1"/>
  <c r="N87" i="1"/>
  <c r="M87" i="1"/>
  <c r="L87" i="1"/>
  <c r="K87" i="1"/>
  <c r="L86" i="1"/>
  <c r="K86" i="1"/>
  <c r="L88" i="1"/>
  <c r="K88" i="1"/>
  <c r="E88" i="1"/>
  <c r="E86" i="1"/>
  <c r="I84" i="1"/>
  <c r="H84" i="1"/>
  <c r="G84" i="1"/>
  <c r="F84" i="1"/>
  <c r="E84" i="1"/>
  <c r="G85" i="1"/>
  <c r="F85" i="1"/>
  <c r="E85" i="1"/>
  <c r="G87" i="1"/>
  <c r="F87" i="1"/>
  <c r="E87" i="1"/>
  <c r="G136" i="1" l="1"/>
</calcChain>
</file>

<file path=xl/sharedStrings.xml><?xml version="1.0" encoding="utf-8"?>
<sst xmlns="http://schemas.openxmlformats.org/spreadsheetml/2006/main" count="466" uniqueCount="233">
  <si>
    <t>Образовательная программа</t>
  </si>
  <si>
    <t>ФГОС 3</t>
  </si>
  <si>
    <t>Институт</t>
  </si>
  <si>
    <t>"Саратовский государственный технический университет имени Гагарина Ю.А."</t>
  </si>
  <si>
    <t>1 курс</t>
  </si>
  <si>
    <t>2 курс</t>
  </si>
  <si>
    <t>3 курс</t>
  </si>
  <si>
    <t>4 курс</t>
  </si>
  <si>
    <t>5 курс</t>
  </si>
  <si>
    <t>6 курс</t>
  </si>
  <si>
    <t xml:space="preserve">Очно-заочное обучение </t>
  </si>
  <si>
    <t xml:space="preserve">Заочное обучение </t>
  </si>
  <si>
    <t xml:space="preserve">Очное обучение </t>
  </si>
  <si>
    <t>УРБАС</t>
  </si>
  <si>
    <t>б-ПРВД</t>
  </si>
  <si>
    <t>б-НФГД</t>
  </si>
  <si>
    <t>б-ЭКЛП</t>
  </si>
  <si>
    <t>б-ЗМКД</t>
  </si>
  <si>
    <t>б-СТЗС</t>
  </si>
  <si>
    <t>с-СЗС</t>
  </si>
  <si>
    <t>б-ДАРС</t>
  </si>
  <si>
    <t>б-АРХТ</t>
  </si>
  <si>
    <t>м-СТЗС</t>
  </si>
  <si>
    <t>м-ЭКЛП</t>
  </si>
  <si>
    <t>Заочное обучение (ИПУ)</t>
  </si>
  <si>
    <t>по курсам и формам обучения в федеральном государственном бюджетном образовательном учреждении высшего образования</t>
  </si>
  <si>
    <t>54.03.01</t>
  </si>
  <si>
    <t>42.03.01</t>
  </si>
  <si>
    <t>42.04.01</t>
  </si>
  <si>
    <t>42.03.04</t>
  </si>
  <si>
    <t>38.03.02</t>
  </si>
  <si>
    <t>38.04.02</t>
  </si>
  <si>
    <t>43.03.01</t>
  </si>
  <si>
    <t>38.03.06</t>
  </si>
  <si>
    <t>ФТИ</t>
  </si>
  <si>
    <t>б-УПТС</t>
  </si>
  <si>
    <t>м-УПТС</t>
  </si>
  <si>
    <t>б-ИКТС</t>
  </si>
  <si>
    <t>м-ИКТС</t>
  </si>
  <si>
    <t>б-МНСТ</t>
  </si>
  <si>
    <t>б-МХРТ</t>
  </si>
  <si>
    <t>м-МХРТ</t>
  </si>
  <si>
    <t>б-АТПП</t>
  </si>
  <si>
    <t>б-ТМОБ</t>
  </si>
  <si>
    <t>б-КТОП</t>
  </si>
  <si>
    <t>м-КТОП</t>
  </si>
  <si>
    <t>б-ЭЛНЭ</t>
  </si>
  <si>
    <t>м-ЭЛНЭ</t>
  </si>
  <si>
    <t>м-ПБРС</t>
  </si>
  <si>
    <t>б-ИВЧТ</t>
  </si>
  <si>
    <t>м-ИВЧТ</t>
  </si>
  <si>
    <t>с-АЭС</t>
  </si>
  <si>
    <t>б-ЭЛЭТ</t>
  </si>
  <si>
    <t>м-ЭЛЭТ</t>
  </si>
  <si>
    <t>б-ТПЭН</t>
  </si>
  <si>
    <t>с-НТС</t>
  </si>
  <si>
    <t>б-ТТПР</t>
  </si>
  <si>
    <t>м-ТТПР</t>
  </si>
  <si>
    <t>б-ЭТТК</t>
  </si>
  <si>
    <t>м-ЭТТК</t>
  </si>
  <si>
    <t>б-ДИЗН</t>
  </si>
  <si>
    <t>с-ИБС</t>
  </si>
  <si>
    <t>б-ИФБС</t>
  </si>
  <si>
    <t>б-ИФСТ</t>
  </si>
  <si>
    <t>м-ИФСТ</t>
  </si>
  <si>
    <t>б-ПИНЖ</t>
  </si>
  <si>
    <t>б-ПИНФ</t>
  </si>
  <si>
    <t>м-ПИНФ</t>
  </si>
  <si>
    <t>б-РКЛМ</t>
  </si>
  <si>
    <t>м-РКЛМ</t>
  </si>
  <si>
    <t>б-ТЛВД</t>
  </si>
  <si>
    <t>м-МЕНЖ</t>
  </si>
  <si>
    <t>б-СРВС</t>
  </si>
  <si>
    <t>б-ТОРГ</t>
  </si>
  <si>
    <t>б-БИСТ</t>
  </si>
  <si>
    <t>б-МВТМ</t>
  </si>
  <si>
    <t>м-ПМИН</t>
  </si>
  <si>
    <t>б-САУП</t>
  </si>
  <si>
    <t>б-ТХНБ</t>
  </si>
  <si>
    <t>б-ХМТН</t>
  </si>
  <si>
    <t>м-ХМТН</t>
  </si>
  <si>
    <t>38.03.01</t>
  </si>
  <si>
    <t>38.04.01</t>
  </si>
  <si>
    <t>38.04.08</t>
  </si>
  <si>
    <t>38.05.01</t>
  </si>
  <si>
    <t>б-ЭКОН</t>
  </si>
  <si>
    <t>м-ЭКОН</t>
  </si>
  <si>
    <t>м-ФНКР</t>
  </si>
  <si>
    <t>43.03.02</t>
  </si>
  <si>
    <t>б-ТУРМ</t>
  </si>
  <si>
    <t>37.03.01</t>
  </si>
  <si>
    <t>39.04.01</t>
  </si>
  <si>
    <t>46.03.02</t>
  </si>
  <si>
    <t>б-ДОКМ</t>
  </si>
  <si>
    <t>б-ПСХЛ</t>
  </si>
  <si>
    <t>м-СОЦЛ</t>
  </si>
  <si>
    <t>38.02.01</t>
  </si>
  <si>
    <t>м-БИСТ</t>
  </si>
  <si>
    <t>м-МВТМ</t>
  </si>
  <si>
    <t>б-ПМИН</t>
  </si>
  <si>
    <t>б-ТХФИ</t>
  </si>
  <si>
    <t>м-ТХФИ</t>
  </si>
  <si>
    <t>б-ЭРСП</t>
  </si>
  <si>
    <t>м-ЭРСП</t>
  </si>
  <si>
    <t>Очно-заочное обучение(ИПУ)</t>
  </si>
  <si>
    <t>38.02.03</t>
  </si>
  <si>
    <t xml:space="preserve">б-УПРК </t>
  </si>
  <si>
    <t>м-МНСТ</t>
  </si>
  <si>
    <t>м-АТПП</t>
  </si>
  <si>
    <t>м-ТМОБ</t>
  </si>
  <si>
    <t>б-ПБРС</t>
  </si>
  <si>
    <t>б-РТХН</t>
  </si>
  <si>
    <t>б-ЛАЗР</t>
  </si>
  <si>
    <t>с-ПТК</t>
  </si>
  <si>
    <t>м-ТПЭН</t>
  </si>
  <si>
    <t>39.03.02</t>
  </si>
  <si>
    <t>б-СОЦР</t>
  </si>
  <si>
    <t xml:space="preserve">с-ЭБЗ </t>
  </si>
  <si>
    <t>ИнПИТ</t>
  </si>
  <si>
    <t>Энгельсский технологический институт (филиал) СГТУ имени Гагарина Ю.А.</t>
  </si>
  <si>
    <t>руб.</t>
  </si>
  <si>
    <t>м-ПИНЖ</t>
  </si>
  <si>
    <t>с-ОТС</t>
  </si>
  <si>
    <t>ОДЛ (2г 10 м)</t>
  </si>
  <si>
    <t>ОДЛ (1г 10 м)</t>
  </si>
  <si>
    <t>43.04.02</t>
  </si>
  <si>
    <t>м-ТУРМ</t>
  </si>
  <si>
    <t>37.04.01</t>
  </si>
  <si>
    <t>м-ПСХЛ</t>
  </si>
  <si>
    <t>38.05.02</t>
  </si>
  <si>
    <t>с-ТЖД</t>
  </si>
  <si>
    <t>м-ИФБС</t>
  </si>
  <si>
    <t>б-МЕТЛ</t>
  </si>
  <si>
    <t>м-МЕТЛ</t>
  </si>
  <si>
    <t>ТМС (3г 10 м)</t>
  </si>
  <si>
    <t>м-АРХТ</t>
  </si>
  <si>
    <t>ПКС (3г 10м)</t>
  </si>
  <si>
    <t>ИСП (3г 10м)</t>
  </si>
  <si>
    <t>ИСП (2г 10м)</t>
  </si>
  <si>
    <t>б-КИЛП</t>
  </si>
  <si>
    <t>5курс</t>
  </si>
  <si>
    <t xml:space="preserve">          ИнЭТиП</t>
  </si>
  <si>
    <t>ЭСН (3г 10м)</t>
  </si>
  <si>
    <t>м-УПРК</t>
  </si>
  <si>
    <t>б-ЭКОН и</t>
  </si>
  <si>
    <t>с-ТЖД и</t>
  </si>
  <si>
    <t>38.03.03</t>
  </si>
  <si>
    <t>б-УППР</t>
  </si>
  <si>
    <t>б-ГИМУ</t>
  </si>
  <si>
    <t>м-ГИМУ</t>
  </si>
  <si>
    <t>40.05.01</t>
  </si>
  <si>
    <t>с-ПНБ</t>
  </si>
  <si>
    <t>45.05.01</t>
  </si>
  <si>
    <t>с-ПРП</t>
  </si>
  <si>
    <t>ИнЭН</t>
  </si>
  <si>
    <t>ИММТ</t>
  </si>
  <si>
    <t>с-СМТ</t>
  </si>
  <si>
    <t>ИСП (3г.10м.)</t>
  </si>
  <si>
    <t>МТО(3г.10м)</t>
  </si>
  <si>
    <t>ОСА(3г.10м.)</t>
  </si>
  <si>
    <t>ТОД (3г.10 м)</t>
  </si>
  <si>
    <t>УКП (3г.10м.)</t>
  </si>
  <si>
    <t>ЭКБУ (2г.10 м)</t>
  </si>
  <si>
    <t>ЭКБУ (1г.10 м)</t>
  </si>
  <si>
    <t>СЭИ</t>
  </si>
  <si>
    <t>Приложение №1 к Постановлению</t>
  </si>
  <si>
    <t>ПБ (3г 10 м)</t>
  </si>
  <si>
    <t xml:space="preserve">б-МЕНЖ </t>
  </si>
  <si>
    <t xml:space="preserve">с-ЭБЗ э </t>
  </si>
  <si>
    <t>УКП (2г.10м.)</t>
  </si>
  <si>
    <t>ТППЭ(3г.10м)</t>
  </si>
  <si>
    <t>филиал СГТУ имени Гагарина Ю.А. в г. Петровске</t>
  </si>
  <si>
    <t>ИСП (3г 10 м)</t>
  </si>
  <si>
    <t>АДТ (3г 10 м)</t>
  </si>
  <si>
    <t>МХРТ (3г 10 м)</t>
  </si>
  <si>
    <t>ТМП</t>
  </si>
  <si>
    <t>ЗИО (3г 10 м)</t>
  </si>
  <si>
    <t>ППК СГТУ имени Гагарина Ю.А.</t>
  </si>
  <si>
    <t>42.02.01</t>
  </si>
  <si>
    <t>РКЛ (3г 10м)</t>
  </si>
  <si>
    <t>ЭКБУ (2г.10мес.)</t>
  </si>
  <si>
    <t>38.02.07</t>
  </si>
  <si>
    <t>ОИБ (2г 10м)</t>
  </si>
  <si>
    <t>ОИБ (3г 10м)</t>
  </si>
  <si>
    <t>ЗЧС (2г 10м)</t>
  </si>
  <si>
    <t>ЗЧС (3г 10м)</t>
  </si>
  <si>
    <t>НГМ (2г 10м)</t>
  </si>
  <si>
    <t>НГМ (3г 10м)</t>
  </si>
  <si>
    <t>40.02.02</t>
  </si>
  <si>
    <t>ПД (3г 6 м)</t>
  </si>
  <si>
    <t>49.02.01</t>
  </si>
  <si>
    <t>38.02.06</t>
  </si>
  <si>
    <t>ФИН (2г.10мес.)</t>
  </si>
  <si>
    <t>БД</t>
  </si>
  <si>
    <t>ОДЛ (2г 10м)</t>
  </si>
  <si>
    <t>43.02.16</t>
  </si>
  <si>
    <t>КСК</t>
  </si>
  <si>
    <t xml:space="preserve">САД </t>
  </si>
  <si>
    <t>ЭСН</t>
  </si>
  <si>
    <t>ТЭО</t>
  </si>
  <si>
    <t>МТО</t>
  </si>
  <si>
    <t>ОСА</t>
  </si>
  <si>
    <t>ТМС</t>
  </si>
  <si>
    <t>СЭГ</t>
  </si>
  <si>
    <t xml:space="preserve">СП </t>
  </si>
  <si>
    <t xml:space="preserve">ОПТ </t>
  </si>
  <si>
    <t xml:space="preserve">ТОД </t>
  </si>
  <si>
    <t>УКП (2г 10м)</t>
  </si>
  <si>
    <t>УКП (3г 10м)</t>
  </si>
  <si>
    <t>Мизякина О.Б.</t>
  </si>
  <si>
    <t>Понятова Н.Ю.</t>
  </si>
  <si>
    <t>Начальник ОПОУ</t>
  </si>
  <si>
    <t>Дружинина И.А.</t>
  </si>
  <si>
    <t>м-НФГД</t>
  </si>
  <si>
    <t>38.02.08</t>
  </si>
  <si>
    <t xml:space="preserve">      Ученого совета от 23.05.2024 г.</t>
  </si>
  <si>
    <t xml:space="preserve"> высшего образования "Саратовский государственный технический университет имени Гагарина Ю.А."</t>
  </si>
  <si>
    <t>Средняя стоимость часа по образовательным программам высшего образования для обучающихся, являющихся иностранными гражданами</t>
  </si>
  <si>
    <t xml:space="preserve">Средняя стоимость часа по образовательным программам высшего и среднего профессионального образования </t>
  </si>
  <si>
    <t xml:space="preserve">для обучающихся, являющихся гражданами Российской Федерации, на 2024\2025 учебный год   </t>
  </si>
  <si>
    <t>ОДЛ (1г 10м)</t>
  </si>
  <si>
    <t>ИСП (3г 10м) (МиЭ)</t>
  </si>
  <si>
    <t>УКП (3г 10м) (МиЭ)</t>
  </si>
  <si>
    <t>ТГ  (2г.10мес.)</t>
  </si>
  <si>
    <t>ФК</t>
  </si>
  <si>
    <t>ТД (торговое дело) (2г10м) (новая специальность)</t>
  </si>
  <si>
    <t>САД (МиЭ)</t>
  </si>
  <si>
    <t>ЭО (новый стандарт)</t>
  </si>
  <si>
    <t>МТО (новый стандарт)</t>
  </si>
  <si>
    <t xml:space="preserve">Проректор по учебной работе </t>
  </si>
  <si>
    <t>Проректор по экономике и финансам</t>
  </si>
  <si>
    <t xml:space="preserve">            или лицами без гражданства, на 2024\2025 учебный год по курсам и  по  формам обучения в федеральном государственном бюджетном образовательном учреждении</t>
  </si>
  <si>
    <t>Приложение №2 к Постановлению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</si>
</sst>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0;[Red]0.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4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1" xfId="0" applyFill="1" applyBorder="1"/>
    <xf numFmtId="2" fontId="0" fillId="0" borderId="6" xfId="0" applyNumberForma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2" fontId="0" fillId="0" borderId="19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18" xfId="0" applyNumberFormat="1" applyFill="1" applyBorder="1" applyAlignment="1">
      <alignment horizontal="center"/>
    </xf>
    <xf numFmtId="2" fontId="0" fillId="0" borderId="26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0" fillId="0" borderId="21" xfId="0" applyNumberFormat="1" applyFill="1" applyBorder="1" applyAlignment="1">
      <alignment horizontal="center"/>
    </xf>
    <xf numFmtId="2" fontId="0" fillId="0" borderId="30" xfId="0" applyNumberForma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2" fontId="0" fillId="0" borderId="17" xfId="0" applyNumberFormat="1" applyFill="1" applyBorder="1" applyAlignment="1">
      <alignment horizontal="center"/>
    </xf>
    <xf numFmtId="2" fontId="0" fillId="0" borderId="25" xfId="0" applyNumberFormat="1" applyFill="1" applyBorder="1" applyAlignment="1">
      <alignment horizontal="center"/>
    </xf>
    <xf numFmtId="165" fontId="0" fillId="0" borderId="12" xfId="0" applyNumberFormat="1" applyFill="1" applyBorder="1" applyAlignment="1">
      <alignment horizontal="center" vertical="top"/>
    </xf>
    <xf numFmtId="165" fontId="0" fillId="0" borderId="27" xfId="0" applyNumberFormat="1" applyFill="1" applyBorder="1" applyAlignment="1">
      <alignment horizontal="center" vertical="top"/>
    </xf>
    <xf numFmtId="165" fontId="0" fillId="0" borderId="16" xfId="0" applyNumberFormat="1" applyFill="1" applyBorder="1" applyAlignment="1">
      <alignment horizontal="center" vertical="top"/>
    </xf>
    <xf numFmtId="2" fontId="0" fillId="0" borderId="6" xfId="0" applyNumberFormat="1" applyFill="1" applyBorder="1" applyAlignment="1">
      <alignment horizontal="center" vertical="top"/>
    </xf>
    <xf numFmtId="2" fontId="0" fillId="0" borderId="7" xfId="0" applyNumberFormat="1" applyFill="1" applyBorder="1" applyAlignment="1">
      <alignment horizontal="center" vertical="top"/>
    </xf>
    <xf numFmtId="2" fontId="0" fillId="0" borderId="1" xfId="0" applyNumberFormat="1" applyFill="1" applyBorder="1" applyAlignment="1">
      <alignment horizontal="center" vertical="top"/>
    </xf>
    <xf numFmtId="2" fontId="0" fillId="0" borderId="8" xfId="0" applyNumberFormat="1" applyFill="1" applyBorder="1" applyAlignment="1">
      <alignment horizontal="center" vertical="top"/>
    </xf>
    <xf numFmtId="2" fontId="0" fillId="0" borderId="20" xfId="0" applyNumberForma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/>
    </xf>
    <xf numFmtId="2" fontId="0" fillId="0" borderId="9" xfId="0" applyNumberFormat="1" applyFill="1" applyBorder="1" applyAlignment="1">
      <alignment horizontal="center" vertical="top"/>
    </xf>
    <xf numFmtId="2" fontId="0" fillId="0" borderId="10" xfId="0" applyNumberFormat="1" applyFill="1" applyBorder="1" applyAlignment="1">
      <alignment horizontal="center" vertical="top"/>
    </xf>
    <xf numFmtId="2" fontId="0" fillId="0" borderId="5" xfId="0" applyNumberFormat="1" applyFill="1" applyBorder="1" applyAlignment="1">
      <alignment horizontal="center" vertical="top"/>
    </xf>
    <xf numFmtId="2" fontId="0" fillId="0" borderId="18" xfId="0" applyNumberFormat="1" applyFill="1" applyBorder="1" applyAlignment="1">
      <alignment horizontal="center" vertical="top"/>
    </xf>
    <xf numFmtId="2" fontId="0" fillId="0" borderId="28" xfId="0" applyNumberFormat="1" applyFill="1" applyBorder="1" applyAlignment="1">
      <alignment horizontal="center" vertical="top"/>
    </xf>
    <xf numFmtId="2" fontId="0" fillId="0" borderId="4" xfId="0" applyNumberFormat="1" applyFill="1" applyBorder="1" applyAlignment="1">
      <alignment horizontal="center" vertical="top"/>
    </xf>
    <xf numFmtId="2" fontId="0" fillId="0" borderId="17" xfId="0" applyNumberFormat="1" applyFill="1" applyBorder="1" applyAlignment="1">
      <alignment horizontal="center" vertical="top"/>
    </xf>
    <xf numFmtId="2" fontId="0" fillId="0" borderId="25" xfId="0" applyNumberFormat="1" applyFill="1" applyBorder="1" applyAlignment="1">
      <alignment horizontal="center" vertical="top"/>
    </xf>
    <xf numFmtId="0" fontId="7" fillId="0" borderId="0" xfId="0" applyFont="1"/>
    <xf numFmtId="2" fontId="0" fillId="0" borderId="2" xfId="0" applyNumberFormat="1" applyFill="1" applyBorder="1" applyAlignment="1">
      <alignment horizontal="center"/>
    </xf>
    <xf numFmtId="2" fontId="0" fillId="0" borderId="32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20" xfId="0" applyNumberFormat="1" applyFill="1" applyBorder="1"/>
    <xf numFmtId="2" fontId="0" fillId="0" borderId="26" xfId="0" applyNumberFormat="1" applyFill="1" applyBorder="1"/>
    <xf numFmtId="2" fontId="0" fillId="0" borderId="18" xfId="0" applyNumberFormat="1" applyFill="1" applyBorder="1"/>
    <xf numFmtId="2" fontId="0" fillId="0" borderId="8" xfId="0" applyNumberFormat="1" applyFill="1" applyBorder="1"/>
    <xf numFmtId="2" fontId="0" fillId="0" borderId="17" xfId="0" applyNumberFormat="1" applyFill="1" applyBorder="1"/>
    <xf numFmtId="2" fontId="0" fillId="0" borderId="10" xfId="0" applyNumberFormat="1" applyFill="1" applyBorder="1"/>
    <xf numFmtId="164" fontId="0" fillId="0" borderId="16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164" fontId="0" fillId="0" borderId="27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top"/>
    </xf>
    <xf numFmtId="165" fontId="0" fillId="0" borderId="32" xfId="0" applyNumberFormat="1" applyFill="1" applyBorder="1" applyAlignment="1">
      <alignment horizontal="center" vertical="top"/>
    </xf>
    <xf numFmtId="0" fontId="0" fillId="0" borderId="11" xfId="0" applyFill="1" applyBorder="1"/>
    <xf numFmtId="164" fontId="0" fillId="0" borderId="1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0" fontId="0" fillId="0" borderId="10" xfId="0" applyFill="1" applyBorder="1" applyAlignment="1">
      <alignment horizontal="left" vertical="top"/>
    </xf>
    <xf numFmtId="164" fontId="0" fillId="0" borderId="25" xfId="0" applyNumberFormat="1" applyFill="1" applyBorder="1" applyAlignment="1">
      <alignment horizontal="center"/>
    </xf>
    <xf numFmtId="164" fontId="0" fillId="0" borderId="26" xfId="0" applyNumberFormat="1" applyFill="1" applyBorder="1" applyAlignment="1">
      <alignment horizontal="center" vertical="top"/>
    </xf>
    <xf numFmtId="164" fontId="0" fillId="0" borderId="31" xfId="0" applyNumberFormat="1" applyFill="1" applyBorder="1" applyAlignment="1">
      <alignment horizontal="center"/>
    </xf>
    <xf numFmtId="0" fontId="7" fillId="0" borderId="0" xfId="0" applyFont="1" applyFill="1"/>
    <xf numFmtId="2" fontId="0" fillId="0" borderId="3" xfId="0" applyNumberFormat="1" applyFill="1" applyBorder="1" applyAlignment="1">
      <alignment horizontal="center" vertical="top"/>
    </xf>
    <xf numFmtId="2" fontId="0" fillId="0" borderId="3" xfId="0" applyNumberFormat="1" applyFill="1" applyBorder="1"/>
    <xf numFmtId="2" fontId="0" fillId="0" borderId="2" xfId="0" applyNumberFormat="1" applyFill="1" applyBorder="1" applyAlignment="1">
      <alignment horizontal="center" vertical="top"/>
    </xf>
    <xf numFmtId="2" fontId="0" fillId="0" borderId="24" xfId="0" applyNumberFormat="1" applyFill="1" applyBorder="1" applyAlignment="1">
      <alignment horizontal="center" vertical="top"/>
    </xf>
    <xf numFmtId="2" fontId="0" fillId="0" borderId="32" xfId="0" applyNumberFormat="1" applyFill="1" applyBorder="1" applyAlignment="1">
      <alignment horizontal="center" vertical="top"/>
    </xf>
    <xf numFmtId="165" fontId="0" fillId="0" borderId="2" xfId="0" applyNumberFormat="1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/>
    </xf>
    <xf numFmtId="0" fontId="0" fillId="0" borderId="39" xfId="0" applyFill="1" applyBorder="1"/>
    <xf numFmtId="165" fontId="0" fillId="0" borderId="41" xfId="0" applyNumberFormat="1" applyFill="1" applyBorder="1" applyAlignment="1">
      <alignment horizontal="center" vertical="top"/>
    </xf>
    <xf numFmtId="0" fontId="0" fillId="0" borderId="35" xfId="0" applyFill="1" applyBorder="1"/>
    <xf numFmtId="2" fontId="0" fillId="0" borderId="21" xfId="0" applyNumberFormat="1" applyFill="1" applyBorder="1"/>
    <xf numFmtId="165" fontId="0" fillId="0" borderId="1" xfId="0" applyNumberFormat="1" applyFill="1" applyBorder="1" applyAlignment="1">
      <alignment horizontal="left" vertical="top" textRotation="90"/>
    </xf>
    <xf numFmtId="165" fontId="0" fillId="0" borderId="20" xfId="0" applyNumberFormat="1" applyFill="1" applyBorder="1"/>
    <xf numFmtId="2" fontId="0" fillId="0" borderId="1" xfId="0" applyNumberFormat="1" applyFill="1" applyBorder="1" applyAlignment="1">
      <alignment horizontal="left"/>
    </xf>
    <xf numFmtId="2" fontId="0" fillId="0" borderId="8" xfId="0" applyNumberFormat="1" applyFill="1" applyBorder="1" applyAlignment="1">
      <alignment horizontal="left"/>
    </xf>
    <xf numFmtId="2" fontId="0" fillId="0" borderId="20" xfId="0" applyNumberFormat="1" applyFill="1" applyBorder="1" applyAlignment="1">
      <alignment horizontal="left"/>
    </xf>
    <xf numFmtId="2" fontId="0" fillId="0" borderId="9" xfId="0" applyNumberFormat="1" applyFill="1" applyBorder="1" applyAlignment="1">
      <alignment horizontal="left"/>
    </xf>
    <xf numFmtId="2" fontId="0" fillId="0" borderId="10" xfId="0" applyNumberForma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2" fontId="0" fillId="0" borderId="21" xfId="0" applyNumberFormat="1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2" fontId="0" fillId="0" borderId="5" xfId="0" applyNumberFormat="1" applyFill="1" applyBorder="1" applyAlignment="1">
      <alignment horizontal="left"/>
    </xf>
    <xf numFmtId="2" fontId="0" fillId="0" borderId="38" xfId="0" applyNumberFormat="1" applyFill="1" applyBorder="1" applyAlignment="1">
      <alignment horizontal="left"/>
    </xf>
    <xf numFmtId="2" fontId="0" fillId="0" borderId="26" xfId="0" applyNumberFormat="1" applyFill="1" applyBorder="1" applyAlignment="1">
      <alignment horizontal="left"/>
    </xf>
    <xf numFmtId="2" fontId="0" fillId="0" borderId="18" xfId="0" applyNumberFormat="1" applyFill="1" applyBorder="1" applyAlignment="1">
      <alignment horizontal="left"/>
    </xf>
    <xf numFmtId="2" fontId="0" fillId="0" borderId="2" xfId="0" applyNumberFormat="1" applyFill="1" applyBorder="1" applyAlignment="1">
      <alignment horizontal="left"/>
    </xf>
    <xf numFmtId="2" fontId="0" fillId="0" borderId="28" xfId="0" applyNumberFormat="1" applyFill="1" applyBorder="1" applyAlignment="1">
      <alignment horizontal="left"/>
    </xf>
    <xf numFmtId="2" fontId="0" fillId="0" borderId="32" xfId="0" applyNumberFormat="1" applyFill="1" applyBorder="1" applyAlignment="1">
      <alignment horizontal="left"/>
    </xf>
    <xf numFmtId="2" fontId="0" fillId="0" borderId="23" xfId="0" applyNumberFormat="1" applyFill="1" applyBorder="1" applyAlignment="1">
      <alignment horizontal="left"/>
    </xf>
    <xf numFmtId="0" fontId="1" fillId="0" borderId="13" xfId="0" applyFont="1" applyFill="1" applyBorder="1" applyAlignment="1">
      <alignment horizontal="center" vertical="center" textRotation="90" readingOrder="1"/>
    </xf>
    <xf numFmtId="2" fontId="0" fillId="0" borderId="44" xfId="0" applyNumberFormat="1" applyFill="1" applyBorder="1" applyAlignment="1">
      <alignment horizontal="center" vertical="top"/>
    </xf>
    <xf numFmtId="2" fontId="0" fillId="0" borderId="37" xfId="0" applyNumberFormat="1" applyFill="1" applyBorder="1" applyAlignment="1">
      <alignment horizontal="center" vertical="top"/>
    </xf>
    <xf numFmtId="2" fontId="0" fillId="0" borderId="45" xfId="0" applyNumberFormat="1" applyFill="1" applyBorder="1" applyAlignment="1">
      <alignment horizontal="center" vertical="top"/>
    </xf>
    <xf numFmtId="165" fontId="0" fillId="0" borderId="45" xfId="0" applyNumberFormat="1" applyFill="1" applyBorder="1" applyAlignment="1">
      <alignment horizontal="center" vertical="top"/>
    </xf>
    <xf numFmtId="2" fontId="0" fillId="0" borderId="19" xfId="0" applyNumberFormat="1" applyFill="1" applyBorder="1"/>
    <xf numFmtId="2" fontId="0" fillId="0" borderId="7" xfId="0" applyNumberFormat="1" applyFill="1" applyBorder="1"/>
    <xf numFmtId="164" fontId="0" fillId="0" borderId="26" xfId="0" applyNumberFormat="1" applyFill="1" applyBorder="1" applyAlignment="1">
      <alignment horizontal="center" vertical="center"/>
    </xf>
    <xf numFmtId="0" fontId="0" fillId="0" borderId="20" xfId="0" applyFill="1" applyBorder="1" applyAlignment="1">
      <alignment horizontal="left"/>
    </xf>
    <xf numFmtId="2" fontId="3" fillId="0" borderId="20" xfId="0" applyNumberFormat="1" applyFont="1" applyFill="1" applyBorder="1" applyAlignment="1">
      <alignment horizontal="left"/>
    </xf>
    <xf numFmtId="2" fontId="3" fillId="0" borderId="8" xfId="0" applyNumberFormat="1" applyFont="1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0" fontId="0" fillId="0" borderId="2" xfId="0" applyFill="1" applyBorder="1"/>
    <xf numFmtId="0" fontId="0" fillId="0" borderId="9" xfId="0" applyFill="1" applyBorder="1"/>
    <xf numFmtId="0" fontId="0" fillId="0" borderId="8" xfId="0" applyFill="1" applyBorder="1" applyAlignment="1">
      <alignment horizontal="center"/>
    </xf>
    <xf numFmtId="165" fontId="0" fillId="0" borderId="4" xfId="0" applyNumberFormat="1" applyFill="1" applyBorder="1"/>
    <xf numFmtId="165" fontId="0" fillId="0" borderId="46" xfId="0" applyNumberFormat="1" applyFill="1" applyBorder="1" applyAlignment="1">
      <alignment horizontal="center" vertical="top"/>
    </xf>
    <xf numFmtId="0" fontId="0" fillId="0" borderId="26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2" fontId="3" fillId="0" borderId="5" xfId="0" applyNumberFormat="1" applyFont="1" applyFill="1" applyBorder="1" applyAlignment="1">
      <alignment horizontal="left"/>
    </xf>
    <xf numFmtId="2" fontId="3" fillId="0" borderId="18" xfId="0" applyNumberFormat="1" applyFont="1" applyFill="1" applyBorder="1" applyAlignment="1">
      <alignment horizontal="left"/>
    </xf>
    <xf numFmtId="0" fontId="0" fillId="0" borderId="18" xfId="0" applyFill="1" applyBorder="1" applyAlignment="1">
      <alignment horizontal="left"/>
    </xf>
    <xf numFmtId="0" fontId="0" fillId="0" borderId="0" xfId="0" applyFill="1"/>
    <xf numFmtId="0" fontId="0" fillId="0" borderId="7" xfId="0" applyFill="1" applyBorder="1"/>
    <xf numFmtId="0" fontId="0" fillId="0" borderId="8" xfId="0" applyFill="1" applyBorder="1"/>
    <xf numFmtId="0" fontId="0" fillId="0" borderId="17" xfId="0" applyFill="1" applyBorder="1"/>
    <xf numFmtId="0" fontId="0" fillId="0" borderId="10" xfId="0" applyFill="1" applyBorder="1"/>
    <xf numFmtId="0" fontId="0" fillId="0" borderId="8" xfId="0" applyFill="1" applyBorder="1" applyAlignment="1">
      <alignment horizontal="left" vertical="top"/>
    </xf>
    <xf numFmtId="0" fontId="0" fillId="0" borderId="48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2" fontId="0" fillId="0" borderId="1" xfId="0" applyNumberFormat="1" applyFill="1" applyBorder="1"/>
    <xf numFmtId="2" fontId="0" fillId="0" borderId="20" xfId="0" applyNumberForma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 vertical="top"/>
    </xf>
    <xf numFmtId="165" fontId="0" fillId="0" borderId="1" xfId="0" applyNumberFormat="1" applyFill="1" applyBorder="1" applyAlignment="1">
      <alignment horizontal="center" vertical="top"/>
    </xf>
    <xf numFmtId="165" fontId="0" fillId="0" borderId="6" xfId="0" applyNumberFormat="1" applyFill="1" applyBorder="1" applyAlignment="1">
      <alignment horizontal="center" vertical="top"/>
    </xf>
    <xf numFmtId="165" fontId="0" fillId="0" borderId="7" xfId="0" applyNumberFormat="1" applyFill="1" applyBorder="1" applyAlignment="1">
      <alignment horizontal="center" vertical="top"/>
    </xf>
    <xf numFmtId="165" fontId="0" fillId="0" borderId="8" xfId="0" applyNumberFormat="1" applyFill="1" applyBorder="1" applyAlignment="1">
      <alignment horizontal="center" vertical="top"/>
    </xf>
    <xf numFmtId="165" fontId="0" fillId="0" borderId="4" xfId="0" applyNumberFormat="1" applyFill="1" applyBorder="1" applyAlignment="1">
      <alignment horizontal="center" vertical="top"/>
    </xf>
    <xf numFmtId="165" fontId="0" fillId="0" borderId="17" xfId="0" applyNumberFormat="1" applyFill="1" applyBorder="1" applyAlignment="1">
      <alignment horizontal="center" vertical="top"/>
    </xf>
    <xf numFmtId="165" fontId="0" fillId="0" borderId="9" xfId="0" applyNumberFormat="1" applyFill="1" applyBorder="1" applyAlignment="1">
      <alignment horizontal="center" vertical="top"/>
    </xf>
    <xf numFmtId="165" fontId="0" fillId="0" borderId="10" xfId="0" applyNumberFormat="1" applyFill="1" applyBorder="1" applyAlignment="1">
      <alignment horizontal="center" vertical="top"/>
    </xf>
    <xf numFmtId="165" fontId="0" fillId="0" borderId="5" xfId="0" applyNumberFormat="1" applyFill="1" applyBorder="1" applyAlignment="1">
      <alignment horizontal="center" vertical="top"/>
    </xf>
    <xf numFmtId="165" fontId="0" fillId="0" borderId="18" xfId="0" applyNumberFormat="1" applyFill="1" applyBorder="1" applyAlignment="1">
      <alignment horizontal="center" vertical="top"/>
    </xf>
    <xf numFmtId="165" fontId="0" fillId="0" borderId="19" xfId="0" applyNumberFormat="1" applyFill="1" applyBorder="1" applyAlignment="1">
      <alignment horizontal="center" vertical="top"/>
    </xf>
    <xf numFmtId="165" fontId="0" fillId="0" borderId="3" xfId="0" applyNumberFormat="1" applyFill="1" applyBorder="1"/>
    <xf numFmtId="165" fontId="0" fillId="0" borderId="20" xfId="0" applyNumberFormat="1" applyFill="1" applyBorder="1" applyAlignment="1">
      <alignment horizontal="center" vertical="top"/>
    </xf>
    <xf numFmtId="165" fontId="0" fillId="0" borderId="25" xfId="0" applyNumberFormat="1" applyFill="1" applyBorder="1" applyAlignment="1">
      <alignment horizontal="center" vertical="top"/>
    </xf>
    <xf numFmtId="165" fontId="0" fillId="0" borderId="21" xfId="0" applyNumberFormat="1" applyFill="1" applyBorder="1" applyAlignment="1">
      <alignment horizontal="center" vertical="top"/>
    </xf>
    <xf numFmtId="0" fontId="0" fillId="0" borderId="18" xfId="0" applyFill="1" applyBorder="1"/>
    <xf numFmtId="0" fontId="0" fillId="0" borderId="18" xfId="0" applyFill="1" applyBorder="1" applyAlignment="1">
      <alignment horizontal="left" vertical="top"/>
    </xf>
    <xf numFmtId="164" fontId="0" fillId="0" borderId="20" xfId="0" applyNumberFormat="1" applyFill="1" applyBorder="1" applyAlignment="1">
      <alignment horizontal="center" vertical="top"/>
    </xf>
    <xf numFmtId="165" fontId="0" fillId="0" borderId="26" xfId="0" applyNumberFormat="1" applyFill="1" applyBorder="1" applyAlignment="1">
      <alignment horizontal="center" vertical="top"/>
    </xf>
    <xf numFmtId="2" fontId="0" fillId="0" borderId="6" xfId="0" applyNumberFormat="1" applyFill="1" applyBorder="1"/>
    <xf numFmtId="2" fontId="0" fillId="0" borderId="4" xfId="0" applyNumberFormat="1" applyFill="1" applyBorder="1"/>
    <xf numFmtId="164" fontId="0" fillId="0" borderId="36" xfId="0" applyNumberFormat="1" applyFill="1" applyBorder="1" applyAlignment="1">
      <alignment horizontal="center" vertical="top"/>
    </xf>
    <xf numFmtId="0" fontId="0" fillId="0" borderId="37" xfId="0" applyFill="1" applyBorder="1" applyAlignment="1">
      <alignment horizontal="left" vertical="top"/>
    </xf>
    <xf numFmtId="2" fontId="0" fillId="0" borderId="5" xfId="0" applyNumberFormat="1" applyFill="1" applyBorder="1"/>
    <xf numFmtId="2" fontId="0" fillId="0" borderId="9" xfId="0" applyNumberFormat="1" applyFill="1" applyBorder="1"/>
    <xf numFmtId="165" fontId="0" fillId="0" borderId="30" xfId="0" applyNumberFormat="1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 vertical="top"/>
    </xf>
    <xf numFmtId="0" fontId="0" fillId="0" borderId="23" xfId="0" applyFill="1" applyBorder="1"/>
    <xf numFmtId="0" fontId="0" fillId="0" borderId="38" xfId="0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65" fontId="0" fillId="0" borderId="44" xfId="0" applyNumberFormat="1" applyFill="1" applyBorder="1" applyAlignment="1">
      <alignment horizontal="center" vertical="top"/>
    </xf>
    <xf numFmtId="165" fontId="0" fillId="0" borderId="37" xfId="0" applyNumberFormat="1" applyFill="1" applyBorder="1" applyAlignment="1">
      <alignment horizontal="center" vertical="top"/>
    </xf>
    <xf numFmtId="165" fontId="0" fillId="0" borderId="36" xfId="0" applyNumberFormat="1" applyFill="1" applyBorder="1" applyAlignment="1">
      <alignment horizontal="center" vertical="top"/>
    </xf>
    <xf numFmtId="0" fontId="0" fillId="0" borderId="37" xfId="0" applyFill="1" applyBorder="1"/>
    <xf numFmtId="2" fontId="0" fillId="0" borderId="50" xfId="0" applyNumberFormat="1" applyFill="1" applyBorder="1" applyAlignment="1">
      <alignment horizontal="center"/>
    </xf>
    <xf numFmtId="2" fontId="0" fillId="0" borderId="51" xfId="0" applyNumberFormat="1" applyFill="1" applyBorder="1" applyAlignment="1">
      <alignment horizontal="center"/>
    </xf>
    <xf numFmtId="2" fontId="0" fillId="0" borderId="51" xfId="0" applyNumberFormat="1" applyFill="1" applyBorder="1" applyAlignment="1">
      <alignment horizontal="center" vertical="top"/>
    </xf>
    <xf numFmtId="2" fontId="0" fillId="0" borderId="52" xfId="0" applyNumberFormat="1" applyFill="1" applyBorder="1" applyAlignment="1">
      <alignment horizontal="center" vertical="top"/>
    </xf>
    <xf numFmtId="165" fontId="0" fillId="0" borderId="53" xfId="0" applyNumberFormat="1" applyFill="1" applyBorder="1" applyAlignment="1">
      <alignment horizontal="center" vertical="top"/>
    </xf>
    <xf numFmtId="165" fontId="0" fillId="0" borderId="51" xfId="0" applyNumberFormat="1" applyFill="1" applyBorder="1" applyAlignment="1">
      <alignment horizontal="center" vertical="top"/>
    </xf>
    <xf numFmtId="165" fontId="0" fillId="0" borderId="52" xfId="0" applyNumberFormat="1" applyFill="1" applyBorder="1" applyAlignment="1">
      <alignment horizontal="center" vertical="top"/>
    </xf>
    <xf numFmtId="164" fontId="0" fillId="0" borderId="27" xfId="0" applyNumberFormat="1" applyFill="1" applyBorder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center"/>
    </xf>
    <xf numFmtId="165" fontId="0" fillId="0" borderId="50" xfId="0" applyNumberFormat="1" applyFill="1" applyBorder="1" applyAlignment="1">
      <alignment horizontal="center" vertical="top"/>
    </xf>
    <xf numFmtId="0" fontId="0" fillId="0" borderId="52" xfId="0" applyFill="1" applyBorder="1"/>
    <xf numFmtId="165" fontId="0" fillId="0" borderId="12" xfId="0" applyNumberFormat="1" applyFill="1" applyBorder="1"/>
    <xf numFmtId="0" fontId="0" fillId="0" borderId="54" xfId="0" applyFill="1" applyBorder="1" applyAlignment="1">
      <alignment horizontal="left" vertical="top"/>
    </xf>
    <xf numFmtId="165" fontId="0" fillId="0" borderId="1" xfId="0" applyNumberFormat="1" applyFill="1" applyBorder="1"/>
    <xf numFmtId="165" fontId="0" fillId="0" borderId="28" xfId="0" applyNumberFormat="1" applyFill="1" applyBorder="1"/>
    <xf numFmtId="2" fontId="0" fillId="0" borderId="38" xfId="0" applyNumberFormat="1" applyFill="1" applyBorder="1" applyAlignment="1">
      <alignment horizontal="center" vertical="top"/>
    </xf>
    <xf numFmtId="2" fontId="0" fillId="0" borderId="26" xfId="0" applyNumberFormat="1" applyFill="1" applyBorder="1" applyAlignment="1">
      <alignment horizontal="center" vertical="top"/>
    </xf>
    <xf numFmtId="0" fontId="0" fillId="0" borderId="28" xfId="0" applyFill="1" applyBorder="1" applyAlignment="1">
      <alignment horizontal="left"/>
    </xf>
    <xf numFmtId="2" fontId="0" fillId="0" borderId="4" xfId="0" applyNumberFormat="1" applyFill="1" applyBorder="1" applyAlignment="1">
      <alignment horizontal="left"/>
    </xf>
    <xf numFmtId="2" fontId="0" fillId="0" borderId="25" xfId="0" applyNumberFormat="1" applyFill="1" applyBorder="1" applyAlignment="1">
      <alignment horizontal="left"/>
    </xf>
    <xf numFmtId="2" fontId="0" fillId="0" borderId="17" xfId="0" applyNumberFormat="1" applyFill="1" applyBorder="1" applyAlignment="1">
      <alignment horizontal="left"/>
    </xf>
    <xf numFmtId="2" fontId="0" fillId="0" borderId="58" xfId="0" applyNumberFormat="1" applyFill="1" applyBorder="1" applyAlignment="1">
      <alignment horizontal="center" vertical="top"/>
    </xf>
    <xf numFmtId="2" fontId="0" fillId="0" borderId="46" xfId="0" applyNumberFormat="1" applyFill="1" applyBorder="1" applyAlignment="1">
      <alignment horizontal="center"/>
    </xf>
    <xf numFmtId="2" fontId="3" fillId="0" borderId="26" xfId="0" applyNumberFormat="1" applyFont="1" applyFill="1" applyBorder="1" applyAlignment="1">
      <alignment horizontal="left"/>
    </xf>
    <xf numFmtId="2" fontId="0" fillId="0" borderId="3" xfId="0" applyNumberFormat="1" applyFill="1" applyBorder="1" applyAlignment="1">
      <alignment horizontal="left"/>
    </xf>
    <xf numFmtId="164" fontId="0" fillId="0" borderId="19" xfId="0" applyNumberFormat="1" applyFill="1" applyBorder="1" applyAlignment="1">
      <alignment horizontal="center" vertical="top"/>
    </xf>
    <xf numFmtId="164" fontId="0" fillId="0" borderId="20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top"/>
    </xf>
    <xf numFmtId="0" fontId="0" fillId="0" borderId="17" xfId="0" applyFill="1" applyBorder="1" applyAlignment="1">
      <alignment horizontal="left" vertical="top"/>
    </xf>
    <xf numFmtId="0" fontId="0" fillId="0" borderId="7" xfId="0" applyFill="1" applyBorder="1" applyAlignment="1">
      <alignment horizontal="center"/>
    </xf>
    <xf numFmtId="2" fontId="0" fillId="0" borderId="19" xfId="0" applyNumberFormat="1" applyFill="1" applyBorder="1" applyAlignment="1">
      <alignment horizontal="center" vertical="top"/>
    </xf>
    <xf numFmtId="2" fontId="0" fillId="0" borderId="22" xfId="0" applyNumberFormat="1" applyFill="1" applyBorder="1" applyAlignment="1">
      <alignment horizontal="center" vertical="top"/>
    </xf>
    <xf numFmtId="0" fontId="7" fillId="0" borderId="1" xfId="0" applyFont="1" applyFill="1" applyBorder="1"/>
    <xf numFmtId="0" fontId="0" fillId="0" borderId="20" xfId="0" applyFill="1" applyBorder="1"/>
    <xf numFmtId="0" fontId="7" fillId="0" borderId="20" xfId="0" applyFont="1" applyFill="1" applyBorder="1"/>
    <xf numFmtId="0" fontId="7" fillId="0" borderId="8" xfId="0" applyFont="1" applyFill="1" applyBorder="1"/>
    <xf numFmtId="165" fontId="0" fillId="0" borderId="22" xfId="0" applyNumberFormat="1" applyFill="1" applyBorder="1" applyAlignment="1">
      <alignment horizontal="center" vertical="top"/>
    </xf>
    <xf numFmtId="0" fontId="7" fillId="0" borderId="2" xfId="0" applyFont="1" applyFill="1" applyBorder="1"/>
    <xf numFmtId="0" fontId="0" fillId="0" borderId="3" xfId="0" applyFill="1" applyBorder="1"/>
    <xf numFmtId="0" fontId="7" fillId="0" borderId="3" xfId="0" applyFont="1" applyFill="1" applyBorder="1"/>
    <xf numFmtId="2" fontId="0" fillId="0" borderId="30" xfId="0" applyNumberFormat="1" applyFill="1" applyBorder="1" applyAlignment="1">
      <alignment horizontal="center" vertical="top"/>
    </xf>
    <xf numFmtId="0" fontId="7" fillId="0" borderId="25" xfId="0" applyFont="1" applyFill="1" applyBorder="1"/>
    <xf numFmtId="0" fontId="7" fillId="0" borderId="4" xfId="0" applyFont="1" applyFill="1" applyBorder="1"/>
    <xf numFmtId="0" fontId="7" fillId="0" borderId="24" xfId="0" applyFont="1" applyFill="1" applyBorder="1"/>
    <xf numFmtId="0" fontId="7" fillId="0" borderId="17" xfId="0" applyFont="1" applyFill="1" applyBorder="1"/>
    <xf numFmtId="0" fontId="7" fillId="0" borderId="30" xfId="0" applyFont="1" applyFill="1" applyBorder="1"/>
    <xf numFmtId="2" fontId="0" fillId="0" borderId="56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/>
    </xf>
    <xf numFmtId="2" fontId="0" fillId="0" borderId="30" xfId="0" applyNumberFormat="1" applyFont="1" applyFill="1" applyBorder="1" applyAlignment="1">
      <alignment horizontal="center"/>
    </xf>
    <xf numFmtId="2" fontId="0" fillId="0" borderId="4" xfId="0" applyNumberFormat="1" applyFont="1" applyFill="1" applyBorder="1" applyAlignment="1">
      <alignment horizontal="center"/>
    </xf>
    <xf numFmtId="2" fontId="0" fillId="0" borderId="6" xfId="0" applyNumberFormat="1" applyFont="1" applyFill="1" applyBorder="1" applyAlignment="1">
      <alignment horizontal="center"/>
    </xf>
    <xf numFmtId="2" fontId="0" fillId="0" borderId="7" xfId="0" applyNumberFormat="1" applyFont="1" applyFill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  <xf numFmtId="2" fontId="0" fillId="0" borderId="17" xfId="0" applyNumberFormat="1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/>
    </xf>
    <xf numFmtId="2" fontId="0" fillId="0" borderId="1" xfId="0" applyNumberFormat="1" applyFont="1" applyFill="1" applyBorder="1"/>
    <xf numFmtId="2" fontId="0" fillId="0" borderId="1" xfId="0" applyNumberFormat="1" applyFont="1" applyFill="1" applyBorder="1" applyAlignment="1">
      <alignment horizontal="center" vertical="top"/>
    </xf>
    <xf numFmtId="2" fontId="0" fillId="0" borderId="8" xfId="0" applyNumberFormat="1" applyFont="1" applyFill="1" applyBorder="1" applyAlignment="1">
      <alignment horizontal="center" vertical="top"/>
    </xf>
    <xf numFmtId="2" fontId="0" fillId="0" borderId="3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17" xfId="0" applyNumberFormat="1" applyFont="1" applyFill="1" applyBorder="1" applyAlignment="1">
      <alignment horizontal="center" vertical="top"/>
    </xf>
    <xf numFmtId="2" fontId="0" fillId="0" borderId="60" xfId="0" applyNumberFormat="1" applyFill="1" applyBorder="1" applyAlignment="1">
      <alignment horizontal="center" vertical="top"/>
    </xf>
    <xf numFmtId="0" fontId="0" fillId="0" borderId="19" xfId="0" applyFill="1" applyBorder="1"/>
    <xf numFmtId="0" fontId="0" fillId="0" borderId="6" xfId="0" applyFill="1" applyBorder="1"/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2" fontId="0" fillId="0" borderId="8" xfId="0" applyNumberFormat="1" applyFont="1" applyFill="1" applyBorder="1" applyAlignment="1">
      <alignment horizontal="center"/>
    </xf>
    <xf numFmtId="2" fontId="0" fillId="0" borderId="20" xfId="0" applyNumberFormat="1" applyFont="1" applyFill="1" applyBorder="1" applyAlignment="1">
      <alignment horizontal="center"/>
    </xf>
    <xf numFmtId="164" fontId="0" fillId="0" borderId="61" xfId="0" applyNumberFormat="1" applyFill="1" applyBorder="1" applyAlignment="1">
      <alignment horizontal="center"/>
    </xf>
    <xf numFmtId="164" fontId="0" fillId="0" borderId="62" xfId="0" applyNumberFormat="1" applyFill="1" applyBorder="1" applyAlignment="1">
      <alignment horizontal="center"/>
    </xf>
    <xf numFmtId="164" fontId="0" fillId="0" borderId="63" xfId="0" applyNumberFormat="1" applyFill="1" applyBorder="1" applyAlignment="1">
      <alignment horizontal="center"/>
    </xf>
    <xf numFmtId="164" fontId="0" fillId="0" borderId="62" xfId="0" applyNumberFormat="1" applyFill="1" applyBorder="1" applyAlignment="1">
      <alignment horizontal="center" vertical="top"/>
    </xf>
    <xf numFmtId="164" fontId="0" fillId="0" borderId="64" xfId="0" applyNumberFormat="1" applyFill="1" applyBorder="1" applyAlignment="1">
      <alignment horizontal="center" vertical="top"/>
    </xf>
    <xf numFmtId="165" fontId="0" fillId="0" borderId="28" xfId="0" applyNumberFormat="1" applyFill="1" applyBorder="1" applyAlignment="1">
      <alignment horizontal="center" vertical="top"/>
    </xf>
    <xf numFmtId="0" fontId="0" fillId="0" borderId="57" xfId="0" applyFill="1" applyBorder="1" applyAlignment="1">
      <alignment horizontal="left"/>
    </xf>
    <xf numFmtId="2" fontId="0" fillId="0" borderId="58" xfId="0" applyNumberFormat="1" applyFill="1" applyBorder="1" applyAlignment="1">
      <alignment horizontal="left"/>
    </xf>
    <xf numFmtId="2" fontId="0" fillId="0" borderId="25" xfId="0" applyNumberFormat="1" applyFill="1" applyBorder="1"/>
    <xf numFmtId="0" fontId="0" fillId="0" borderId="25" xfId="0" applyFill="1" applyBorder="1"/>
    <xf numFmtId="0" fontId="0" fillId="0" borderId="4" xfId="0" applyFill="1" applyBorder="1"/>
    <xf numFmtId="0" fontId="4" fillId="0" borderId="0" xfId="0" applyFont="1" applyAlignment="1">
      <alignment vertical="top"/>
    </xf>
    <xf numFmtId="165" fontId="0" fillId="0" borderId="18" xfId="0" applyNumberFormat="1" applyFill="1" applyBorder="1" applyAlignment="1">
      <alignment horizontal="left" vertical="top"/>
    </xf>
    <xf numFmtId="165" fontId="0" fillId="0" borderId="27" xfId="0" applyNumberFormat="1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165" fontId="0" fillId="0" borderId="26" xfId="0" applyNumberFormat="1" applyFill="1" applyBorder="1" applyAlignment="1">
      <alignment horizontal="left" vertical="top"/>
    </xf>
    <xf numFmtId="165" fontId="0" fillId="0" borderId="7" xfId="0" applyNumberFormat="1" applyFill="1" applyBorder="1" applyAlignment="1">
      <alignment horizontal="left" vertical="top"/>
    </xf>
    <xf numFmtId="2" fontId="9" fillId="0" borderId="3" xfId="0" applyNumberFormat="1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center"/>
    </xf>
    <xf numFmtId="2" fontId="0" fillId="0" borderId="19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3" fillId="0" borderId="30" xfId="0" applyNumberFormat="1" applyFont="1" applyFill="1" applyBorder="1" applyAlignment="1">
      <alignment horizontal="center"/>
    </xf>
    <xf numFmtId="165" fontId="0" fillId="0" borderId="30" xfId="0" applyNumberFormat="1" applyFill="1" applyBorder="1"/>
    <xf numFmtId="164" fontId="3" fillId="0" borderId="63" xfId="0" applyNumberFormat="1" applyFont="1" applyFill="1" applyBorder="1" applyAlignment="1">
      <alignment horizontal="center"/>
    </xf>
    <xf numFmtId="2" fontId="3" fillId="0" borderId="20" xfId="0" applyNumberFormat="1" applyFont="1" applyFill="1" applyBorder="1" applyAlignment="1">
      <alignment horizontal="center"/>
    </xf>
    <xf numFmtId="2" fontId="8" fillId="0" borderId="4" xfId="0" applyNumberFormat="1" applyFont="1" applyFill="1" applyBorder="1" applyAlignment="1">
      <alignment horizontal="center"/>
    </xf>
    <xf numFmtId="164" fontId="3" fillId="0" borderId="62" xfId="0" applyNumberFormat="1" applyFont="1" applyFill="1" applyBorder="1" applyAlignment="1">
      <alignment horizontal="center"/>
    </xf>
    <xf numFmtId="164" fontId="3" fillId="0" borderId="62" xfId="0" applyNumberFormat="1" applyFont="1" applyFill="1" applyBorder="1" applyAlignment="1">
      <alignment horizontal="center" vertical="top"/>
    </xf>
    <xf numFmtId="2" fontId="3" fillId="0" borderId="3" xfId="0" applyNumberFormat="1" applyFont="1" applyFill="1" applyBorder="1" applyAlignment="1">
      <alignment horizontal="center" vertical="top"/>
    </xf>
    <xf numFmtId="2" fontId="0" fillId="0" borderId="0" xfId="0" applyNumberFormat="1" applyFont="1" applyFill="1" applyBorder="1" applyAlignment="1">
      <alignment horizontal="center"/>
    </xf>
    <xf numFmtId="164" fontId="3" fillId="0" borderId="63" xfId="0" applyNumberFormat="1" applyFont="1" applyFill="1" applyBorder="1" applyAlignment="1">
      <alignment horizontal="center" vertical="top"/>
    </xf>
    <xf numFmtId="2" fontId="3" fillId="0" borderId="25" xfId="0" applyNumberFormat="1" applyFont="1" applyFill="1" applyBorder="1" applyAlignment="1">
      <alignment horizontal="center"/>
    </xf>
    <xf numFmtId="0" fontId="0" fillId="0" borderId="21" xfId="0" applyFill="1" applyBorder="1"/>
    <xf numFmtId="0" fontId="4" fillId="0" borderId="0" xfId="0" applyFont="1" applyAlignment="1">
      <alignment horizontal="center" vertical="top"/>
    </xf>
    <xf numFmtId="0" fontId="1" fillId="0" borderId="29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" fillId="0" borderId="13" xfId="0" applyFont="1" applyBorder="1" applyAlignment="1">
      <alignment vertical="top" wrapText="1"/>
    </xf>
    <xf numFmtId="0" fontId="0" fillId="0" borderId="15" xfId="0" applyBorder="1" applyAlignment="1"/>
    <xf numFmtId="0" fontId="7" fillId="0" borderId="0" xfId="0" applyFont="1" applyFill="1" applyAlignment="1">
      <alignment horizontal="left"/>
    </xf>
    <xf numFmtId="0" fontId="1" fillId="0" borderId="29" xfId="0" applyFont="1" applyFill="1" applyBorder="1" applyAlignment="1">
      <alignment horizontal="center" vertical="center" textRotation="90"/>
    </xf>
    <xf numFmtId="0" fontId="1" fillId="0" borderId="14" xfId="0" applyFont="1" applyFill="1" applyBorder="1" applyAlignment="1">
      <alignment horizontal="center" vertical="center" textRotation="90"/>
    </xf>
    <xf numFmtId="0" fontId="1" fillId="0" borderId="55" xfId="0" applyFont="1" applyFill="1" applyBorder="1" applyAlignment="1">
      <alignment horizontal="center" vertical="center" textRotation="90"/>
    </xf>
    <xf numFmtId="0" fontId="1" fillId="0" borderId="31" xfId="0" applyFont="1" applyFill="1" applyBorder="1" applyAlignment="1">
      <alignment horizontal="center" vertical="center" textRotation="90"/>
    </xf>
    <xf numFmtId="0" fontId="1" fillId="0" borderId="59" xfId="0" applyFont="1" applyFill="1" applyBorder="1" applyAlignment="1">
      <alignment horizontal="center" vertical="center" textRotation="90"/>
    </xf>
    <xf numFmtId="0" fontId="6" fillId="0" borderId="34" xfId="0" applyFont="1" applyBorder="1" applyAlignment="1">
      <alignment horizontal="right" vertical="top"/>
    </xf>
    <xf numFmtId="0" fontId="1" fillId="0" borderId="31" xfId="0" applyFont="1" applyFill="1" applyBorder="1" applyAlignment="1">
      <alignment horizontal="center" vertical="center" textRotation="90" wrapText="1"/>
    </xf>
    <xf numFmtId="0" fontId="0" fillId="0" borderId="31" xfId="0" applyFill="1" applyBorder="1" applyAlignment="1">
      <alignment horizontal="center" vertical="center" textRotation="90" wrapText="1"/>
    </xf>
    <xf numFmtId="0" fontId="1" fillId="0" borderId="13" xfId="0" applyFont="1" applyFill="1" applyBorder="1" applyAlignment="1">
      <alignment horizontal="center" vertical="center" textRotation="90"/>
    </xf>
    <xf numFmtId="0" fontId="0" fillId="0" borderId="14" xfId="0" applyFill="1" applyBorder="1" applyAlignment="1">
      <alignment horizontal="center" vertical="center" textRotation="90"/>
    </xf>
    <xf numFmtId="0" fontId="1" fillId="0" borderId="55" xfId="0" applyFont="1" applyFill="1" applyBorder="1" applyAlignment="1">
      <alignment horizontal="center" vertical="center" textRotation="90" wrapText="1"/>
    </xf>
    <xf numFmtId="0" fontId="0" fillId="0" borderId="31" xfId="0" applyFill="1" applyBorder="1" applyAlignment="1">
      <alignment horizontal="center" vertical="center" textRotation="90"/>
    </xf>
    <xf numFmtId="0" fontId="0" fillId="0" borderId="59" xfId="0" applyFill="1" applyBorder="1" applyAlignment="1">
      <alignment horizontal="center" vertical="center" textRotation="90"/>
    </xf>
    <xf numFmtId="0" fontId="0" fillId="0" borderId="31" xfId="0" applyFill="1" applyBorder="1" applyAlignment="1">
      <alignment wrapText="1"/>
    </xf>
    <xf numFmtId="0" fontId="1" fillId="0" borderId="13" xfId="0" applyFont="1" applyBorder="1" applyAlignment="1">
      <alignment vertical="center"/>
    </xf>
    <xf numFmtId="0" fontId="1" fillId="0" borderId="15" xfId="0" applyFont="1" applyFill="1" applyBorder="1" applyAlignment="1">
      <alignment horizontal="center" vertical="center" textRotation="90"/>
    </xf>
    <xf numFmtId="0" fontId="1" fillId="0" borderId="14" xfId="0" applyFont="1" applyFill="1" applyBorder="1" applyAlignment="1">
      <alignment horizontal="center" vertical="center" textRotation="90" readingOrder="1"/>
    </xf>
    <xf numFmtId="0" fontId="0" fillId="0" borderId="14" xfId="0" applyFill="1" applyBorder="1" applyAlignment="1">
      <alignment horizontal="center" vertical="center" textRotation="90" readingOrder="1"/>
    </xf>
    <xf numFmtId="0" fontId="0" fillId="0" borderId="15" xfId="0" applyFill="1" applyBorder="1" applyAlignment="1">
      <alignment horizontal="center" vertical="center" textRotation="90" readingOrder="1"/>
    </xf>
    <xf numFmtId="0" fontId="1" fillId="0" borderId="13" xfId="0" applyFont="1" applyFill="1" applyBorder="1" applyAlignment="1">
      <alignment horizontal="center" vertical="center" textRotation="90" wrapText="1"/>
    </xf>
    <xf numFmtId="0" fontId="1" fillId="0" borderId="14" xfId="0" applyFont="1" applyFill="1" applyBorder="1" applyAlignment="1">
      <alignment horizontal="center" vertical="center" textRotation="90" wrapText="1"/>
    </xf>
    <xf numFmtId="0" fontId="0" fillId="0" borderId="14" xfId="0" applyFill="1" applyBorder="1" applyAlignment="1">
      <alignment horizontal="center" vertical="center" textRotation="90" wrapText="1"/>
    </xf>
    <xf numFmtId="0" fontId="0" fillId="0" borderId="15" xfId="0" applyFill="1" applyBorder="1" applyAlignment="1">
      <alignment horizontal="center" vertical="center" textRotation="90" wrapText="1"/>
    </xf>
    <xf numFmtId="0" fontId="0" fillId="0" borderId="5" xfId="0" applyFill="1" applyBorder="1" applyAlignment="1">
      <alignment horizontal="left" vertical="top"/>
    </xf>
    <xf numFmtId="0" fontId="3" fillId="0" borderId="8" xfId="0" applyFont="1" applyFill="1" applyBorder="1"/>
    <xf numFmtId="2" fontId="0" fillId="0" borderId="27" xfId="0" applyNumberFormat="1" applyFill="1" applyBorder="1" applyAlignment="1">
      <alignment horizontal="left"/>
    </xf>
    <xf numFmtId="2" fontId="0" fillId="0" borderId="43" xfId="0" applyNumberFormat="1" applyFill="1" applyBorder="1" applyAlignment="1">
      <alignment horizontal="left"/>
    </xf>
    <xf numFmtId="2" fontId="0" fillId="0" borderId="6" xfId="0" applyNumberFormat="1" applyFill="1" applyBorder="1" applyAlignment="1">
      <alignment horizontal="left"/>
    </xf>
    <xf numFmtId="2" fontId="0" fillId="0" borderId="12" xfId="0" applyNumberFormat="1" applyFill="1" applyBorder="1" applyAlignment="1">
      <alignment horizontal="left"/>
    </xf>
    <xf numFmtId="2" fontId="3" fillId="0" borderId="9" xfId="0" applyNumberFormat="1" applyFont="1" applyFill="1" applyBorder="1" applyAlignment="1">
      <alignment horizontal="left"/>
    </xf>
    <xf numFmtId="2" fontId="0" fillId="0" borderId="16" xfId="0" applyNumberFormat="1" applyFill="1" applyBorder="1" applyAlignment="1">
      <alignment horizontal="center"/>
    </xf>
    <xf numFmtId="165" fontId="0" fillId="0" borderId="27" xfId="0" applyNumberFormat="1" applyFill="1" applyBorder="1"/>
    <xf numFmtId="165" fontId="0" fillId="0" borderId="9" xfId="0" applyNumberFormat="1" applyFill="1" applyBorder="1"/>
    <xf numFmtId="0" fontId="0" fillId="0" borderId="7" xfId="0" applyFill="1" applyBorder="1" applyAlignment="1">
      <alignment horizontal="left" vertical="top" wrapText="1"/>
    </xf>
    <xf numFmtId="2" fontId="0" fillId="0" borderId="45" xfId="0" applyNumberFormat="1" applyFill="1" applyBorder="1" applyAlignment="1">
      <alignment horizontal="center"/>
    </xf>
    <xf numFmtId="2" fontId="0" fillId="0" borderId="36" xfId="0" applyNumberFormat="1" applyFill="1" applyBorder="1" applyAlignment="1">
      <alignment horizontal="center"/>
    </xf>
    <xf numFmtId="2" fontId="0" fillId="0" borderId="43" xfId="0" applyNumberFormat="1" applyFill="1" applyBorder="1"/>
    <xf numFmtId="0" fontId="0" fillId="0" borderId="8" xfId="0" applyFill="1" applyBorder="1" applyAlignment="1">
      <alignment horizontal="left" vertical="top" wrapText="1"/>
    </xf>
    <xf numFmtId="2" fontId="0" fillId="0" borderId="56" xfId="0" applyNumberFormat="1" applyFill="1" applyBorder="1" applyAlignment="1">
      <alignment horizontal="center"/>
    </xf>
    <xf numFmtId="2" fontId="0" fillId="0" borderId="57" xfId="0" applyNumberFormat="1" applyFill="1" applyBorder="1" applyAlignment="1">
      <alignment horizontal="center" vertical="top"/>
    </xf>
    <xf numFmtId="2" fontId="0" fillId="0" borderId="12" xfId="0" applyNumberFormat="1" applyFill="1" applyBorder="1" applyAlignment="1">
      <alignment horizontal="center"/>
    </xf>
    <xf numFmtId="165" fontId="0" fillId="0" borderId="55" xfId="0" applyNumberFormat="1" applyFill="1" applyBorder="1"/>
    <xf numFmtId="165" fontId="0" fillId="0" borderId="6" xfId="0" applyNumberFormat="1" applyFill="1" applyBorder="1"/>
    <xf numFmtId="165" fontId="0" fillId="0" borderId="16" xfId="0" applyNumberFormat="1" applyFill="1" applyBorder="1"/>
    <xf numFmtId="165" fontId="0" fillId="0" borderId="60" xfId="0" applyNumberFormat="1" applyFill="1" applyBorder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Alignment="1">
      <alignment vertical="top" wrapText="1"/>
    </xf>
    <xf numFmtId="0" fontId="6" fillId="0" borderId="34" xfId="0" applyFont="1" applyFill="1" applyBorder="1" applyAlignment="1">
      <alignment horizontal="right" vertical="top"/>
    </xf>
    <xf numFmtId="0" fontId="1" fillId="0" borderId="13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top" wrapText="1"/>
    </xf>
    <xf numFmtId="0" fontId="0" fillId="0" borderId="15" xfId="0" applyFill="1" applyBorder="1" applyAlignment="1"/>
    <xf numFmtId="0" fontId="0" fillId="0" borderId="15" xfId="0" applyFill="1" applyBorder="1" applyAlignment="1">
      <alignment horizontal="center"/>
    </xf>
    <xf numFmtId="165" fontId="0" fillId="0" borderId="19" xfId="0" applyNumberFormat="1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0" fontId="0" fillId="0" borderId="38" xfId="0" applyFill="1" applyBorder="1"/>
    <xf numFmtId="0" fontId="3" fillId="0" borderId="2" xfId="0" applyFont="1" applyFill="1" applyBorder="1"/>
    <xf numFmtId="165" fontId="0" fillId="0" borderId="27" xfId="0" applyNumberForma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0" fillId="0" borderId="12" xfId="0" applyNumberFormat="1" applyFill="1" applyBorder="1" applyAlignment="1">
      <alignment horizontal="center"/>
    </xf>
    <xf numFmtId="165" fontId="0" fillId="0" borderId="9" xfId="0" applyNumberFormat="1" applyFill="1" applyBorder="1" applyAlignment="1">
      <alignment horizontal="center"/>
    </xf>
    <xf numFmtId="165" fontId="0" fillId="0" borderId="19" xfId="0" applyNumberFormat="1" applyFill="1" applyBorder="1"/>
    <xf numFmtId="0" fontId="0" fillId="0" borderId="33" xfId="0" applyFill="1" applyBorder="1"/>
    <xf numFmtId="0" fontId="3" fillId="0" borderId="11" xfId="0" applyFont="1" applyFill="1" applyBorder="1"/>
    <xf numFmtId="0" fontId="0" fillId="0" borderId="35" xfId="0" applyFill="1" applyBorder="1" applyAlignment="1">
      <alignment horizontal="left" vertical="top"/>
    </xf>
    <xf numFmtId="0" fontId="3" fillId="0" borderId="4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wrapText="1"/>
    </xf>
    <xf numFmtId="0" fontId="0" fillId="0" borderId="4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0" fillId="0" borderId="4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1"/>
  <sheetViews>
    <sheetView tabSelected="1" zoomScaleNormal="100" workbookViewId="0">
      <selection activeCell="C21" sqref="C21"/>
    </sheetView>
  </sheetViews>
  <sheetFormatPr defaultRowHeight="15" x14ac:dyDescent="0.25"/>
  <cols>
    <col min="1" max="1" width="9.5703125" customWidth="1"/>
    <col min="2" max="2" width="13.85546875" style="4" customWidth="1"/>
    <col min="3" max="3" width="19.28515625" customWidth="1"/>
    <col min="4" max="5" width="6.5703125" customWidth="1"/>
    <col min="6" max="6" width="6.42578125" customWidth="1"/>
    <col min="7" max="8" width="6.140625" customWidth="1"/>
    <col min="9" max="10" width="6.28515625" customWidth="1"/>
    <col min="11" max="11" width="6.42578125" customWidth="1"/>
    <col min="12" max="12" width="6.140625" customWidth="1"/>
    <col min="13" max="13" width="6" customWidth="1"/>
    <col min="14" max="14" width="6.140625" customWidth="1"/>
    <col min="15" max="16" width="6.28515625" customWidth="1"/>
    <col min="17" max="17" width="6.7109375" customWidth="1"/>
    <col min="18" max="19" width="6.42578125" customWidth="1"/>
    <col min="20" max="20" width="6.28515625" customWidth="1"/>
    <col min="21" max="21" width="7.140625" customWidth="1"/>
    <col min="22" max="22" width="6.7109375" customWidth="1"/>
    <col min="23" max="24" width="6.140625" customWidth="1"/>
    <col min="25" max="25" width="6" customWidth="1"/>
    <col min="26" max="26" width="6.85546875" customWidth="1"/>
    <col min="27" max="27" width="7.7109375" customWidth="1"/>
    <col min="28" max="28" width="6.85546875" customWidth="1"/>
    <col min="29" max="29" width="7.5703125" customWidth="1"/>
  </cols>
  <sheetData>
    <row r="1" spans="1:29" s="176" customFormat="1" ht="18.75" x14ac:dyDescent="0.3">
      <c r="A1" s="322"/>
      <c r="B1" s="323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 t="s">
        <v>165</v>
      </c>
      <c r="X1" s="322"/>
      <c r="Y1" s="322"/>
      <c r="Z1" s="322"/>
      <c r="AA1" s="322"/>
      <c r="AB1" s="322"/>
      <c r="AC1" s="322"/>
    </row>
    <row r="2" spans="1:29" s="176" customFormat="1" ht="18.75" x14ac:dyDescent="0.3">
      <c r="A2" s="322"/>
      <c r="B2" s="323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 t="s">
        <v>215</v>
      </c>
      <c r="X2" s="322"/>
      <c r="Y2" s="322"/>
      <c r="Z2" s="322"/>
      <c r="AA2" s="322"/>
      <c r="AB2" s="322"/>
      <c r="AC2" s="322"/>
    </row>
    <row r="3" spans="1:29" ht="14.25" customHeight="1" x14ac:dyDescent="0.25">
      <c r="A3" s="122"/>
      <c r="B3" s="324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</row>
    <row r="4" spans="1:29" s="1" customFormat="1" ht="15.75" customHeight="1" x14ac:dyDescent="0.25">
      <c r="A4" s="325" t="s">
        <v>218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</row>
    <row r="5" spans="1:29" s="1" customFormat="1" ht="15.75" customHeight="1" x14ac:dyDescent="0.25">
      <c r="A5" s="325" t="s">
        <v>219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</row>
    <row r="6" spans="1:29" s="1" customFormat="1" ht="18.75" x14ac:dyDescent="0.25">
      <c r="A6" s="325" t="s">
        <v>25</v>
      </c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</row>
    <row r="7" spans="1:29" s="1" customFormat="1" ht="18.75" x14ac:dyDescent="0.25">
      <c r="A7" s="325" t="s">
        <v>3</v>
      </c>
      <c r="B7" s="325"/>
      <c r="C7" s="325"/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</row>
    <row r="8" spans="1:29" s="1" customFormat="1" ht="19.5" thickBot="1" x14ac:dyDescent="0.3">
      <c r="A8" s="326"/>
      <c r="B8" s="327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9"/>
      <c r="Y8" s="329"/>
      <c r="Z8" s="328"/>
      <c r="AA8" s="328"/>
      <c r="AB8" s="330" t="s">
        <v>120</v>
      </c>
      <c r="AC8" s="330"/>
    </row>
    <row r="9" spans="1:29" ht="15.75" customHeight="1" thickBot="1" x14ac:dyDescent="0.3">
      <c r="A9" s="331" t="s">
        <v>2</v>
      </c>
      <c r="B9" s="332" t="s">
        <v>1</v>
      </c>
      <c r="C9" s="333" t="s">
        <v>0</v>
      </c>
      <c r="D9" s="271" t="s">
        <v>12</v>
      </c>
      <c r="E9" s="271"/>
      <c r="F9" s="271"/>
      <c r="G9" s="271"/>
      <c r="H9" s="271"/>
      <c r="I9" s="271"/>
      <c r="J9" s="271" t="s">
        <v>11</v>
      </c>
      <c r="K9" s="271"/>
      <c r="L9" s="271"/>
      <c r="M9" s="271"/>
      <c r="N9" s="271"/>
      <c r="O9" s="271"/>
      <c r="P9" s="271" t="s">
        <v>24</v>
      </c>
      <c r="Q9" s="271"/>
      <c r="R9" s="271"/>
      <c r="S9" s="271"/>
      <c r="T9" s="271"/>
      <c r="U9" s="271" t="s">
        <v>10</v>
      </c>
      <c r="V9" s="271"/>
      <c r="W9" s="271"/>
      <c r="X9" s="271"/>
      <c r="Y9" s="271"/>
      <c r="Z9" s="271" t="s">
        <v>104</v>
      </c>
      <c r="AA9" s="271"/>
      <c r="AB9" s="271"/>
      <c r="AC9" s="271"/>
    </row>
    <row r="10" spans="1:29" ht="15.75" customHeight="1" thickBot="1" x14ac:dyDescent="0.3">
      <c r="A10" s="334"/>
      <c r="B10" s="335"/>
      <c r="C10" s="334"/>
      <c r="D10" s="128" t="s">
        <v>4</v>
      </c>
      <c r="E10" s="129" t="s">
        <v>5</v>
      </c>
      <c r="F10" s="129" t="s">
        <v>6</v>
      </c>
      <c r="G10" s="129" t="s">
        <v>7</v>
      </c>
      <c r="H10" s="129" t="s">
        <v>8</v>
      </c>
      <c r="I10" s="130" t="s">
        <v>9</v>
      </c>
      <c r="J10" s="128" t="s">
        <v>4</v>
      </c>
      <c r="K10" s="129" t="s">
        <v>5</v>
      </c>
      <c r="L10" s="129" t="s">
        <v>6</v>
      </c>
      <c r="M10" s="129" t="s">
        <v>7</v>
      </c>
      <c r="N10" s="129" t="s">
        <v>8</v>
      </c>
      <c r="O10" s="130" t="s">
        <v>9</v>
      </c>
      <c r="P10" s="128" t="s">
        <v>4</v>
      </c>
      <c r="Q10" s="129" t="s">
        <v>5</v>
      </c>
      <c r="R10" s="129" t="s">
        <v>6</v>
      </c>
      <c r="S10" s="130" t="s">
        <v>7</v>
      </c>
      <c r="T10" s="130" t="s">
        <v>140</v>
      </c>
      <c r="U10" s="128" t="s">
        <v>4</v>
      </c>
      <c r="V10" s="129" t="s">
        <v>5</v>
      </c>
      <c r="W10" s="129" t="s">
        <v>6</v>
      </c>
      <c r="X10" s="129" t="s">
        <v>7</v>
      </c>
      <c r="Y10" s="130" t="s">
        <v>8</v>
      </c>
      <c r="Z10" s="128" t="s">
        <v>4</v>
      </c>
      <c r="AA10" s="129" t="s">
        <v>5</v>
      </c>
      <c r="AB10" s="129" t="s">
        <v>6</v>
      </c>
      <c r="AC10" s="130" t="s">
        <v>7</v>
      </c>
    </row>
    <row r="11" spans="1:29" s="122" customFormat="1" ht="15" customHeight="1" x14ac:dyDescent="0.25">
      <c r="A11" s="285" t="s">
        <v>13</v>
      </c>
      <c r="B11" s="175">
        <v>38860</v>
      </c>
      <c r="C11" s="162" t="s">
        <v>156</v>
      </c>
      <c r="D11" s="336">
        <f>131130/2/1112.8</f>
        <v>58.918943206326389</v>
      </c>
      <c r="E11" s="337">
        <f>131130/2/1112.8</f>
        <v>58.918943206326389</v>
      </c>
      <c r="F11" s="337">
        <f>129210/2/1112.8</f>
        <v>58.056254493170385</v>
      </c>
      <c r="G11" s="337">
        <f>129640/2/1112.8</f>
        <v>58.24946081955428</v>
      </c>
      <c r="H11" s="337">
        <f>134430/2/1112.8</f>
        <v>60.401689432063264</v>
      </c>
      <c r="I11" s="253"/>
      <c r="J11" s="252">
        <f>55870/2/927.3</f>
        <v>30.125094359969808</v>
      </c>
      <c r="K11" s="251">
        <f>55870/2/927.3</f>
        <v>30.125094359969808</v>
      </c>
      <c r="L11" s="251">
        <f>58940/2/927.3</f>
        <v>31.780437830259896</v>
      </c>
      <c r="M11" s="251">
        <f>61280/2/927.3</f>
        <v>33.042165426507069</v>
      </c>
      <c r="N11" s="251">
        <f>61280/2/927.3</f>
        <v>33.042165426507069</v>
      </c>
      <c r="O11" s="249">
        <f>63120/2/927.3</f>
        <v>34.034293109026208</v>
      </c>
      <c r="P11" s="250"/>
      <c r="Q11" s="251"/>
      <c r="R11" s="251"/>
      <c r="S11" s="251"/>
      <c r="T11" s="250"/>
      <c r="U11" s="252"/>
      <c r="V11" s="251"/>
      <c r="W11" s="251"/>
      <c r="X11" s="251"/>
      <c r="Y11" s="121"/>
      <c r="Z11" s="252"/>
      <c r="AA11" s="251"/>
      <c r="AB11" s="251"/>
      <c r="AC11" s="249"/>
    </row>
    <row r="12" spans="1:29" s="122" customFormat="1" ht="15.75" customHeight="1" x14ac:dyDescent="0.25">
      <c r="A12" s="278"/>
      <c r="B12" s="55">
        <v>37335</v>
      </c>
      <c r="C12" s="338" t="s">
        <v>14</v>
      </c>
      <c r="D12" s="94">
        <f>127940/2/1121</f>
        <v>57.065120428189118</v>
      </c>
      <c r="E12" s="92">
        <f>131130/2/1121</f>
        <v>58.487957181088312</v>
      </c>
      <c r="F12" s="92">
        <f>129210/2/1121</f>
        <v>57.631578947368418</v>
      </c>
      <c r="G12" s="92"/>
      <c r="H12" s="92"/>
      <c r="I12" s="95"/>
      <c r="J12" s="243"/>
      <c r="K12" s="87"/>
      <c r="L12" s="92"/>
      <c r="M12" s="92">
        <f>61280/2/896.8</f>
        <v>34.165923282783233</v>
      </c>
      <c r="N12" s="92"/>
      <c r="O12" s="95"/>
      <c r="P12" s="192"/>
      <c r="Q12" s="119"/>
      <c r="R12" s="119"/>
      <c r="S12" s="119"/>
      <c r="T12" s="120"/>
      <c r="U12" s="94"/>
      <c r="V12" s="92"/>
      <c r="W12" s="92"/>
      <c r="X12" s="92"/>
      <c r="Y12" s="95"/>
      <c r="Z12" s="117"/>
      <c r="AA12" s="118"/>
      <c r="AB12" s="118"/>
      <c r="AC12" s="121"/>
    </row>
    <row r="13" spans="1:29" s="122" customFormat="1" ht="15" customHeight="1" x14ac:dyDescent="0.25">
      <c r="A13" s="278"/>
      <c r="B13" s="51">
        <v>36971</v>
      </c>
      <c r="C13" s="339" t="s">
        <v>15</v>
      </c>
      <c r="D13" s="83">
        <f>162170/2/1121</f>
        <v>72.332738626226586</v>
      </c>
      <c r="E13" s="81">
        <f>162170/2/1121</f>
        <v>72.332738626226586</v>
      </c>
      <c r="F13" s="81">
        <f>171080/2/1121</f>
        <v>76.306868867082969</v>
      </c>
      <c r="G13" s="81">
        <f>177920/2/1121</f>
        <v>79.357716324710083</v>
      </c>
      <c r="H13" s="81"/>
      <c r="I13" s="82"/>
      <c r="J13" s="83"/>
      <c r="K13" s="87"/>
      <c r="L13" s="81"/>
      <c r="M13" s="81"/>
      <c r="N13" s="81"/>
      <c r="O13" s="82"/>
      <c r="P13" s="109"/>
      <c r="Q13" s="86"/>
      <c r="R13" s="86"/>
      <c r="S13" s="86"/>
      <c r="T13" s="110"/>
      <c r="U13" s="83">
        <f>84090/2/896.8</f>
        <v>46.883363068688674</v>
      </c>
      <c r="V13" s="81"/>
      <c r="W13" s="81"/>
      <c r="X13" s="81"/>
      <c r="Y13" s="81">
        <f>92250/2/896.8</f>
        <v>51.432872435325606</v>
      </c>
      <c r="Z13" s="83">
        <f>105110/2/1121</f>
        <v>46.882247992863512</v>
      </c>
      <c r="AA13" s="81">
        <f>105100/2/1121</f>
        <v>46.877787689562894</v>
      </c>
      <c r="AB13" s="81">
        <f>110880/2/1121</f>
        <v>49.45584299732382</v>
      </c>
      <c r="AC13" s="82">
        <f>115310/2/1121</f>
        <v>51.431757359500445</v>
      </c>
    </row>
    <row r="14" spans="1:29" s="122" customFormat="1" ht="15" customHeight="1" x14ac:dyDescent="0.25">
      <c r="A14" s="278"/>
      <c r="B14" s="51">
        <v>37002</v>
      </c>
      <c r="C14" s="339" t="s">
        <v>213</v>
      </c>
      <c r="D14" s="83"/>
      <c r="E14" s="81"/>
      <c r="F14" s="81"/>
      <c r="G14" s="81"/>
      <c r="H14" s="81"/>
      <c r="I14" s="82"/>
      <c r="J14" s="83"/>
      <c r="K14" s="87"/>
      <c r="L14" s="81"/>
      <c r="M14" s="81"/>
      <c r="N14" s="81"/>
      <c r="O14" s="82"/>
      <c r="P14" s="109"/>
      <c r="Q14" s="86"/>
      <c r="R14" s="86"/>
      <c r="S14" s="86"/>
      <c r="T14" s="110"/>
      <c r="U14" s="97">
        <f>98970/2/864</f>
        <v>57.274305555555557</v>
      </c>
      <c r="V14" s="81"/>
      <c r="W14" s="81"/>
      <c r="X14" s="81"/>
      <c r="Y14" s="82"/>
      <c r="Z14" s="83"/>
      <c r="AA14" s="81"/>
      <c r="AB14" s="81"/>
      <c r="AC14" s="82"/>
    </row>
    <row r="15" spans="1:29" s="122" customFormat="1" ht="15" customHeight="1" x14ac:dyDescent="0.25">
      <c r="A15" s="278"/>
      <c r="B15" s="51">
        <v>38781</v>
      </c>
      <c r="C15" s="339" t="s">
        <v>16</v>
      </c>
      <c r="D15" s="83">
        <f>127940/2/1121</f>
        <v>57.065120428189118</v>
      </c>
      <c r="E15" s="81">
        <f>131130/2/1121</f>
        <v>58.487957181088312</v>
      </c>
      <c r="F15" s="81">
        <f>129210/2/1121</f>
        <v>57.631578947368418</v>
      </c>
      <c r="G15" s="81">
        <f>129640/2/1121</f>
        <v>57.823371989295275</v>
      </c>
      <c r="H15" s="81"/>
      <c r="I15" s="82"/>
      <c r="J15" s="83"/>
      <c r="K15" s="81"/>
      <c r="L15" s="81"/>
      <c r="M15" s="81"/>
      <c r="N15" s="81"/>
      <c r="O15" s="82"/>
      <c r="P15" s="109"/>
      <c r="Q15" s="86"/>
      <c r="R15" s="86"/>
      <c r="S15" s="86"/>
      <c r="T15" s="110"/>
      <c r="U15" s="83"/>
      <c r="V15" s="81"/>
      <c r="W15" s="81"/>
      <c r="X15" s="81"/>
      <c r="Y15" s="82"/>
      <c r="Z15" s="108"/>
      <c r="AA15" s="87"/>
      <c r="AB15" s="87"/>
      <c r="AC15" s="88"/>
    </row>
    <row r="16" spans="1:29" s="122" customFormat="1" x14ac:dyDescent="0.25">
      <c r="A16" s="278"/>
      <c r="B16" s="51">
        <v>37336</v>
      </c>
      <c r="C16" s="339" t="s">
        <v>17</v>
      </c>
      <c r="D16" s="83">
        <f>156160/2/1121</f>
        <v>69.652096342551289</v>
      </c>
      <c r="E16" s="81">
        <f>162170/2/1121</f>
        <v>72.332738626226586</v>
      </c>
      <c r="F16" s="81">
        <f>171080/2/1121</f>
        <v>76.306868867082969</v>
      </c>
      <c r="G16" s="81">
        <f>177920/2/1121</f>
        <v>79.357716324710083</v>
      </c>
      <c r="H16" s="81"/>
      <c r="I16" s="82"/>
      <c r="J16" s="108">
        <f>55870/2/896.8</f>
        <v>31.149643175735953</v>
      </c>
      <c r="K16" s="81">
        <f>55870/2/896.8</f>
        <v>31.149643175735953</v>
      </c>
      <c r="L16" s="81">
        <f>58940/2/896.8</f>
        <v>32.86128456735058</v>
      </c>
      <c r="M16" s="81"/>
      <c r="N16" s="81">
        <f>61280/2/896.8</f>
        <v>34.165923282783233</v>
      </c>
      <c r="O16" s="82"/>
      <c r="P16" s="109">
        <f>69830/2/1121</f>
        <v>31.146297948260482</v>
      </c>
      <c r="Q16" s="86"/>
      <c r="R16" s="86"/>
      <c r="S16" s="86"/>
      <c r="T16" s="110"/>
      <c r="U16" s="83"/>
      <c r="V16" s="81"/>
      <c r="W16" s="81"/>
      <c r="X16" s="81"/>
      <c r="Y16" s="82"/>
      <c r="Z16" s="186"/>
      <c r="AA16" s="87"/>
      <c r="AB16" s="87"/>
      <c r="AC16" s="88"/>
    </row>
    <row r="17" spans="1:29" s="122" customFormat="1" x14ac:dyDescent="0.25">
      <c r="A17" s="278"/>
      <c r="B17" s="51">
        <v>38812</v>
      </c>
      <c r="C17" s="339" t="s">
        <v>23</v>
      </c>
      <c r="D17" s="83">
        <f>136770/2/1080</f>
        <v>63.319444444444443</v>
      </c>
      <c r="E17" s="81">
        <f>139660/2/1080</f>
        <v>64.657407407407405</v>
      </c>
      <c r="F17" s="81"/>
      <c r="G17" s="81"/>
      <c r="H17" s="81"/>
      <c r="I17" s="82"/>
      <c r="J17" s="83">
        <f>59800/2/864</f>
        <v>34.606481481481481</v>
      </c>
      <c r="K17" s="81">
        <f>59800/2/864</f>
        <v>34.606481481481481</v>
      </c>
      <c r="L17" s="81">
        <f>63080/2/864</f>
        <v>36.504629629629626</v>
      </c>
      <c r="M17" s="81"/>
      <c r="N17" s="81"/>
      <c r="O17" s="82"/>
      <c r="P17" s="109"/>
      <c r="Q17" s="86"/>
      <c r="R17" s="86"/>
      <c r="S17" s="86"/>
      <c r="T17" s="110"/>
      <c r="U17" s="83"/>
      <c r="V17" s="81"/>
      <c r="W17" s="81"/>
      <c r="X17" s="81"/>
      <c r="Y17" s="82"/>
      <c r="Z17" s="186"/>
      <c r="AA17" s="87"/>
      <c r="AB17" s="87"/>
      <c r="AC17" s="88"/>
    </row>
    <row r="18" spans="1:29" s="122" customFormat="1" x14ac:dyDescent="0.25">
      <c r="A18" s="278"/>
      <c r="B18" s="51">
        <v>36958</v>
      </c>
      <c r="C18" s="339" t="s">
        <v>18</v>
      </c>
      <c r="D18" s="83">
        <f>131130/2/1121</f>
        <v>58.487957181088312</v>
      </c>
      <c r="E18" s="81">
        <f>131130/2/1121</f>
        <v>58.487957181088312</v>
      </c>
      <c r="F18" s="81">
        <f>129210/2/1121</f>
        <v>57.631578947368418</v>
      </c>
      <c r="G18" s="81">
        <f>129640/2/1121</f>
        <v>57.823371989295275</v>
      </c>
      <c r="H18" s="81"/>
      <c r="I18" s="82"/>
      <c r="J18" s="83"/>
      <c r="K18" s="81"/>
      <c r="L18" s="81"/>
      <c r="M18" s="81"/>
      <c r="N18" s="81">
        <f>61280/2/896.8</f>
        <v>34.165923282783233</v>
      </c>
      <c r="O18" s="82"/>
      <c r="P18" s="109"/>
      <c r="Q18" s="86"/>
      <c r="R18" s="86"/>
      <c r="S18" s="86">
        <f>76610/2/1121</f>
        <v>34.170383586083851</v>
      </c>
      <c r="T18" s="110"/>
      <c r="U18" s="83">
        <f>55870/2/896.8</f>
        <v>31.149643175735953</v>
      </c>
      <c r="V18" s="81"/>
      <c r="W18" s="81"/>
      <c r="X18" s="81"/>
      <c r="Y18" s="82"/>
      <c r="Z18" s="97">
        <f>69830/2/1121</f>
        <v>31.146297948260482</v>
      </c>
      <c r="AA18" s="81">
        <f>69830/2/1121</f>
        <v>31.146297948260482</v>
      </c>
      <c r="AB18" s="81">
        <f>73670/2/1121</f>
        <v>32.859054415700271</v>
      </c>
      <c r="AC18" s="88"/>
    </row>
    <row r="19" spans="1:29" s="122" customFormat="1" x14ac:dyDescent="0.25">
      <c r="A19" s="278"/>
      <c r="B19" s="51">
        <v>37019</v>
      </c>
      <c r="C19" s="339" t="s">
        <v>19</v>
      </c>
      <c r="D19" s="83">
        <f>131130/2/1107.3</f>
        <v>59.21159577350312</v>
      </c>
      <c r="E19" s="81">
        <f>131130/2/1107.3</f>
        <v>59.21159577350312</v>
      </c>
      <c r="F19" s="81">
        <f>129210/2/1107.3</f>
        <v>58.344622053644002</v>
      </c>
      <c r="G19" s="81">
        <f>129640/2/1107.3</f>
        <v>58.538788042987449</v>
      </c>
      <c r="H19" s="81">
        <f>134430/2/1107.3</f>
        <v>60.701706854510974</v>
      </c>
      <c r="I19" s="82">
        <f>138460/2/1107.3</f>
        <v>62.521448568590266</v>
      </c>
      <c r="J19" s="83"/>
      <c r="K19" s="81"/>
      <c r="L19" s="81"/>
      <c r="M19" s="81"/>
      <c r="N19" s="81"/>
      <c r="O19" s="82"/>
      <c r="P19" s="83"/>
      <c r="Q19" s="81"/>
      <c r="R19" s="81"/>
      <c r="S19" s="81"/>
      <c r="T19" s="82"/>
      <c r="U19" s="83"/>
      <c r="V19" s="81"/>
      <c r="W19" s="81"/>
      <c r="X19" s="81"/>
      <c r="Y19" s="82"/>
      <c r="Z19" s="186"/>
      <c r="AA19" s="87"/>
      <c r="AB19" s="87"/>
      <c r="AC19" s="88"/>
    </row>
    <row r="20" spans="1:29" s="122" customFormat="1" x14ac:dyDescent="0.25">
      <c r="A20" s="278"/>
      <c r="B20" s="51">
        <v>36970</v>
      </c>
      <c r="C20" s="112" t="s">
        <v>78</v>
      </c>
      <c r="D20" s="83">
        <f>127940/2/1121</f>
        <v>57.065120428189118</v>
      </c>
      <c r="E20" s="81">
        <f>131130/2/1121</f>
        <v>58.487957181088312</v>
      </c>
      <c r="F20" s="81">
        <f>129210/2/1121</f>
        <v>57.631578947368418</v>
      </c>
      <c r="G20" s="81">
        <f>129640/2/1121</f>
        <v>57.823371989295275</v>
      </c>
      <c r="H20" s="81"/>
      <c r="I20" s="82"/>
      <c r="J20" s="83">
        <f>55870/2/896.8</f>
        <v>31.149643175735953</v>
      </c>
      <c r="K20" s="81">
        <f>55870/2/896.8</f>
        <v>31.149643175735953</v>
      </c>
      <c r="L20" s="81">
        <f>58940/2/896.8</f>
        <v>32.86128456735058</v>
      </c>
      <c r="M20" s="81">
        <f>61280/2/896.8</f>
        <v>34.165923282783233</v>
      </c>
      <c r="N20" s="81">
        <f>61280/2/896.8</f>
        <v>34.165923282783233</v>
      </c>
      <c r="O20" s="82"/>
      <c r="P20" s="83">
        <f>69830/2/1121</f>
        <v>31.146297948260482</v>
      </c>
      <c r="Q20" s="81"/>
      <c r="R20" s="81"/>
      <c r="S20" s="81"/>
      <c r="T20" s="82"/>
      <c r="U20" s="83"/>
      <c r="V20" s="81"/>
      <c r="W20" s="81"/>
      <c r="X20" s="81"/>
      <c r="Y20" s="82"/>
      <c r="Z20" s="97"/>
      <c r="AA20" s="81"/>
      <c r="AB20" s="81"/>
      <c r="AC20" s="82"/>
    </row>
    <row r="21" spans="1:29" s="122" customFormat="1" x14ac:dyDescent="0.25">
      <c r="A21" s="278"/>
      <c r="B21" s="51">
        <v>37333</v>
      </c>
      <c r="C21" s="112" t="s">
        <v>102</v>
      </c>
      <c r="D21" s="83"/>
      <c r="E21" s="81"/>
      <c r="F21" s="81">
        <f>129210/2/1121</f>
        <v>57.631578947368418</v>
      </c>
      <c r="G21" s="81">
        <f>129640/2/1121</f>
        <v>57.823371989295275</v>
      </c>
      <c r="H21" s="81"/>
      <c r="I21" s="82"/>
      <c r="J21" s="83"/>
      <c r="K21" s="81"/>
      <c r="L21" s="81"/>
      <c r="M21" s="81"/>
      <c r="N21" s="81">
        <f>61280/2/896.8</f>
        <v>34.165923282783233</v>
      </c>
      <c r="O21" s="82"/>
      <c r="P21" s="83"/>
      <c r="Q21" s="81"/>
      <c r="R21" s="81"/>
      <c r="S21" s="81"/>
      <c r="T21" s="82"/>
      <c r="U21" s="83"/>
      <c r="V21" s="81"/>
      <c r="W21" s="81"/>
      <c r="X21" s="81"/>
      <c r="Y21" s="82"/>
      <c r="Z21" s="83"/>
      <c r="AA21" s="81"/>
      <c r="AB21" s="81"/>
      <c r="AC21" s="82"/>
    </row>
    <row r="22" spans="1:29" s="122" customFormat="1" x14ac:dyDescent="0.25">
      <c r="A22" s="278"/>
      <c r="B22" s="51">
        <v>37364</v>
      </c>
      <c r="C22" s="112" t="s">
        <v>103</v>
      </c>
      <c r="D22" s="83"/>
      <c r="E22" s="81"/>
      <c r="F22" s="81"/>
      <c r="G22" s="81"/>
      <c r="H22" s="81"/>
      <c r="I22" s="82"/>
      <c r="J22" s="83"/>
      <c r="K22" s="81"/>
      <c r="L22" s="81"/>
      <c r="M22" s="81"/>
      <c r="N22" s="81"/>
      <c r="O22" s="82"/>
      <c r="P22" s="83"/>
      <c r="Q22" s="81"/>
      <c r="R22" s="81"/>
      <c r="S22" s="81"/>
      <c r="T22" s="82"/>
      <c r="U22" s="97">
        <f>65770/2/864</f>
        <v>38.061342592592595</v>
      </c>
      <c r="V22" s="193">
        <f>65770/2/864</f>
        <v>38.061342592592595</v>
      </c>
      <c r="W22" s="193"/>
      <c r="X22" s="81"/>
      <c r="Y22" s="82"/>
      <c r="Z22" s="83"/>
      <c r="AA22" s="81"/>
      <c r="AB22" s="81"/>
      <c r="AC22" s="82"/>
    </row>
    <row r="23" spans="1:29" s="122" customFormat="1" x14ac:dyDescent="0.25">
      <c r="A23" s="278"/>
      <c r="B23" s="51">
        <v>37687</v>
      </c>
      <c r="C23" s="339" t="s">
        <v>20</v>
      </c>
      <c r="D23" s="83">
        <f>131130/2/1112.8</f>
        <v>58.918943206326389</v>
      </c>
      <c r="E23" s="81">
        <f>131130/2/1112.8</f>
        <v>58.918943206326389</v>
      </c>
      <c r="F23" s="81">
        <f>129210/2/1112.8</f>
        <v>58.056254493170385</v>
      </c>
      <c r="G23" s="81">
        <f>129640/2/1112.8</f>
        <v>58.24946081955428</v>
      </c>
      <c r="H23" s="81">
        <f>134430/2/1112.8</f>
        <v>60.401689432063264</v>
      </c>
      <c r="I23" s="82"/>
      <c r="J23" s="83"/>
      <c r="K23" s="81"/>
      <c r="L23" s="81"/>
      <c r="M23" s="81"/>
      <c r="N23" s="81"/>
      <c r="O23" s="82"/>
      <c r="P23" s="83"/>
      <c r="Q23" s="81"/>
      <c r="R23" s="81"/>
      <c r="S23" s="81"/>
      <c r="T23" s="82"/>
      <c r="U23" s="83"/>
      <c r="V23" s="81"/>
      <c r="W23" s="81"/>
      <c r="X23" s="81"/>
      <c r="Y23" s="82"/>
      <c r="Z23" s="108"/>
      <c r="AA23" s="87"/>
      <c r="AB23" s="87"/>
      <c r="AC23" s="88"/>
    </row>
    <row r="24" spans="1:29" s="122" customFormat="1" x14ac:dyDescent="0.25">
      <c r="A24" s="278"/>
      <c r="B24" s="51">
        <v>36957</v>
      </c>
      <c r="C24" s="339" t="s">
        <v>21</v>
      </c>
      <c r="D24" s="83">
        <f>131130/2/1112.8</f>
        <v>58.918943206326389</v>
      </c>
      <c r="E24" s="81">
        <f>131130/2/1112.8</f>
        <v>58.918943206326389</v>
      </c>
      <c r="F24" s="81">
        <f>129210/2/1112.8</f>
        <v>58.056254493170385</v>
      </c>
      <c r="G24" s="81">
        <f>129640/2/1112.8</f>
        <v>58.24946081955428</v>
      </c>
      <c r="H24" s="81">
        <f>134430/2/1112.8</f>
        <v>60.401689432063264</v>
      </c>
      <c r="I24" s="82"/>
      <c r="J24" s="83"/>
      <c r="K24" s="81"/>
      <c r="L24" s="81"/>
      <c r="M24" s="81"/>
      <c r="N24" s="81"/>
      <c r="O24" s="82"/>
      <c r="P24" s="83"/>
      <c r="Q24" s="81"/>
      <c r="R24" s="81"/>
      <c r="S24" s="81"/>
      <c r="T24" s="82"/>
      <c r="U24" s="83"/>
      <c r="V24" s="81"/>
      <c r="W24" s="81"/>
      <c r="X24" s="81"/>
      <c r="Y24" s="82"/>
      <c r="Z24" s="108"/>
      <c r="AA24" s="87"/>
      <c r="AB24" s="87"/>
      <c r="AC24" s="88"/>
    </row>
    <row r="25" spans="1:29" s="122" customFormat="1" x14ac:dyDescent="0.25">
      <c r="A25" s="278"/>
      <c r="B25" s="51">
        <v>36989</v>
      </c>
      <c r="C25" s="112" t="s">
        <v>22</v>
      </c>
      <c r="D25" s="83">
        <f>139660/2/1080</f>
        <v>64.657407407407405</v>
      </c>
      <c r="E25" s="81">
        <f>139660/2/1080</f>
        <v>64.657407407407405</v>
      </c>
      <c r="F25" s="81"/>
      <c r="G25" s="81"/>
      <c r="H25" s="81"/>
      <c r="I25" s="82"/>
      <c r="J25" s="83">
        <f>59800/2/864</f>
        <v>34.606481481481481</v>
      </c>
      <c r="K25" s="81">
        <f>59800/2/864</f>
        <v>34.606481481481481</v>
      </c>
      <c r="L25" s="81">
        <f>63080/2/864</f>
        <v>36.504629629629626</v>
      </c>
      <c r="M25" s="81"/>
      <c r="N25" s="81"/>
      <c r="O25" s="82"/>
      <c r="P25" s="83"/>
      <c r="Q25" s="81"/>
      <c r="R25" s="81"/>
      <c r="S25" s="81"/>
      <c r="T25" s="82"/>
      <c r="U25" s="83"/>
      <c r="V25" s="81"/>
      <c r="W25" s="81"/>
      <c r="X25" s="81"/>
      <c r="Y25" s="82"/>
      <c r="Z25" s="108"/>
      <c r="AA25" s="87"/>
      <c r="AB25" s="87"/>
      <c r="AC25" s="88"/>
    </row>
    <row r="26" spans="1:29" s="122" customFormat="1" ht="15.75" thickBot="1" x14ac:dyDescent="0.3">
      <c r="A26" s="292"/>
      <c r="B26" s="56">
        <v>36988</v>
      </c>
      <c r="C26" s="161" t="s">
        <v>135</v>
      </c>
      <c r="D26" s="89">
        <f>139660/2/1080</f>
        <v>64.657407407407405</v>
      </c>
      <c r="E26" s="84">
        <f>139660/2/1080</f>
        <v>64.657407407407405</v>
      </c>
      <c r="F26" s="84"/>
      <c r="G26" s="84"/>
      <c r="H26" s="84"/>
      <c r="I26" s="85"/>
      <c r="J26" s="89"/>
      <c r="K26" s="84"/>
      <c r="L26" s="84"/>
      <c r="M26" s="84"/>
      <c r="N26" s="84"/>
      <c r="O26" s="85"/>
      <c r="P26" s="89"/>
      <c r="Q26" s="84"/>
      <c r="R26" s="84"/>
      <c r="S26" s="84"/>
      <c r="T26" s="85"/>
      <c r="U26" s="188"/>
      <c r="V26" s="187"/>
      <c r="W26" s="187"/>
      <c r="X26" s="187"/>
      <c r="Y26" s="189"/>
      <c r="Z26" s="111"/>
      <c r="AA26" s="90"/>
      <c r="AB26" s="90"/>
      <c r="AC26" s="91"/>
    </row>
    <row r="27" spans="1:29" s="122" customFormat="1" ht="15.75" customHeight="1" thickBot="1" x14ac:dyDescent="0.3">
      <c r="A27" s="277" t="s">
        <v>118</v>
      </c>
      <c r="B27" s="107" t="s">
        <v>26</v>
      </c>
      <c r="C27" s="149" t="s">
        <v>60</v>
      </c>
      <c r="D27" s="302">
        <f>222290/2/1121</f>
        <v>99.148082069580738</v>
      </c>
      <c r="E27" s="92">
        <f>224850/2/1121</f>
        <v>100.28991971454059</v>
      </c>
      <c r="F27" s="92">
        <f>220290/2/1121</f>
        <v>98.25602140945584</v>
      </c>
      <c r="G27" s="92">
        <f>219400/2/1121</f>
        <v>97.859054415700271</v>
      </c>
      <c r="H27" s="92"/>
      <c r="I27" s="93"/>
      <c r="J27" s="97"/>
      <c r="K27" s="81"/>
      <c r="L27" s="81"/>
      <c r="M27" s="81"/>
      <c r="N27" s="81">
        <f>73780/2/896.8</f>
        <v>41.135147190008922</v>
      </c>
      <c r="O27" s="95"/>
      <c r="P27" s="92"/>
      <c r="Q27" s="92"/>
      <c r="R27" s="92"/>
      <c r="S27" s="92"/>
      <c r="T27" s="92"/>
      <c r="U27" s="303">
        <f>69980/2/896.8</f>
        <v>39.016503122212313</v>
      </c>
      <c r="V27" s="304">
        <f>69980/2/896.8</f>
        <v>39.016503122212313</v>
      </c>
      <c r="W27" s="304">
        <f>73820/2/896.8</f>
        <v>41.157448706512042</v>
      </c>
      <c r="X27" s="304">
        <f>76770/2/896.8</f>
        <v>42.80218554861731</v>
      </c>
      <c r="Y27" s="244"/>
      <c r="Z27" s="97">
        <f>87470/2/1121</f>
        <v>39.014272970561997</v>
      </c>
      <c r="AA27" s="92"/>
      <c r="AB27" s="92"/>
      <c r="AC27" s="95"/>
    </row>
    <row r="28" spans="1:29" s="122" customFormat="1" ht="15.75" thickBot="1" x14ac:dyDescent="0.3">
      <c r="A28" s="277"/>
      <c r="B28" s="53">
        <v>36959</v>
      </c>
      <c r="C28" s="124" t="s">
        <v>49</v>
      </c>
      <c r="D28" s="193">
        <f>131130/2/1121</f>
        <v>58.487957181088312</v>
      </c>
      <c r="E28" s="81">
        <f>131130/2/1121</f>
        <v>58.487957181088312</v>
      </c>
      <c r="F28" s="81">
        <f>129210/2/1121</f>
        <v>57.631578947368418</v>
      </c>
      <c r="G28" s="81">
        <f>129640/2/1121</f>
        <v>57.823371989295275</v>
      </c>
      <c r="H28" s="81"/>
      <c r="I28" s="96"/>
      <c r="J28" s="97">
        <f>55870/2/896.8</f>
        <v>31.149643175735953</v>
      </c>
      <c r="K28" s="81">
        <f>55870/2/896.8</f>
        <v>31.149643175735953</v>
      </c>
      <c r="L28" s="81">
        <f>58940/2/896.8</f>
        <v>32.86128456735058</v>
      </c>
      <c r="M28" s="81">
        <f>61280/2/896.8</f>
        <v>34.165923282783233</v>
      </c>
      <c r="N28" s="81"/>
      <c r="O28" s="82"/>
      <c r="P28" s="81">
        <f>69830/2/1121</f>
        <v>31.146297948260482</v>
      </c>
      <c r="Q28" s="81"/>
      <c r="R28" s="81"/>
      <c r="S28" s="81"/>
      <c r="T28" s="81"/>
      <c r="U28" s="83"/>
      <c r="V28" s="81"/>
      <c r="W28" s="81"/>
      <c r="X28" s="81"/>
      <c r="Y28" s="82"/>
      <c r="Z28" s="83"/>
      <c r="AA28" s="81"/>
      <c r="AB28" s="81"/>
      <c r="AC28" s="82"/>
    </row>
    <row r="29" spans="1:29" s="122" customFormat="1" ht="15.75" thickBot="1" x14ac:dyDescent="0.3">
      <c r="A29" s="277"/>
      <c r="B29" s="51">
        <v>36990</v>
      </c>
      <c r="C29" s="124" t="s">
        <v>50</v>
      </c>
      <c r="D29" s="193">
        <f>139660/2/1080</f>
        <v>64.657407407407405</v>
      </c>
      <c r="E29" s="81">
        <f>139660/2/1080</f>
        <v>64.657407407407405</v>
      </c>
      <c r="F29" s="81"/>
      <c r="G29" s="81"/>
      <c r="H29" s="81"/>
      <c r="I29" s="96"/>
      <c r="J29" s="97"/>
      <c r="K29" s="81"/>
      <c r="L29" s="81"/>
      <c r="M29" s="81"/>
      <c r="N29" s="81"/>
      <c r="O29" s="82"/>
      <c r="P29" s="83"/>
      <c r="Q29" s="81"/>
      <c r="R29" s="81"/>
      <c r="S29" s="81"/>
      <c r="T29" s="81"/>
      <c r="U29" s="83"/>
      <c r="V29" s="81"/>
      <c r="W29" s="81"/>
      <c r="X29" s="81"/>
      <c r="Y29" s="82"/>
      <c r="Z29" s="97"/>
      <c r="AA29" s="81"/>
      <c r="AB29" s="81"/>
      <c r="AC29" s="82"/>
    </row>
    <row r="30" spans="1:29" s="122" customFormat="1" ht="15.75" thickBot="1" x14ac:dyDescent="0.3">
      <c r="A30" s="277"/>
      <c r="B30" s="53">
        <v>37324</v>
      </c>
      <c r="C30" s="124" t="s">
        <v>63</v>
      </c>
      <c r="D30" s="193">
        <f>131130/2/1121</f>
        <v>58.487957181088312</v>
      </c>
      <c r="E30" s="81">
        <f>131130/2/1121</f>
        <v>58.487957181088312</v>
      </c>
      <c r="F30" s="81">
        <f>129210/2/1121</f>
        <v>57.631578947368418</v>
      </c>
      <c r="G30" s="81">
        <f>129640/2/1121</f>
        <v>57.823371989295275</v>
      </c>
      <c r="H30" s="81"/>
      <c r="I30" s="96"/>
      <c r="J30" s="97">
        <f>55870/2/896.8</f>
        <v>31.149643175735953</v>
      </c>
      <c r="K30" s="81">
        <f>55870/2/896.8</f>
        <v>31.149643175735953</v>
      </c>
      <c r="L30" s="81">
        <f>58940/2/896.8</f>
        <v>32.86128456735058</v>
      </c>
      <c r="M30" s="81">
        <f>61280/2/896.8</f>
        <v>34.165923282783233</v>
      </c>
      <c r="N30" s="81">
        <f>61280/2/896.8</f>
        <v>34.165923282783233</v>
      </c>
      <c r="O30" s="82"/>
      <c r="P30" s="81">
        <f>69830/2/1121</f>
        <v>31.146297948260482</v>
      </c>
      <c r="Q30" s="81">
        <f>69830/2/1121</f>
        <v>31.146297948260482</v>
      </c>
      <c r="R30" s="81">
        <f>73670/2/1121</f>
        <v>32.859054415700271</v>
      </c>
      <c r="S30" s="81">
        <f>76610/2/1121</f>
        <v>34.170383586083851</v>
      </c>
      <c r="T30" s="81"/>
      <c r="U30" s="97"/>
      <c r="V30" s="81"/>
      <c r="W30" s="96"/>
      <c r="X30" s="81"/>
      <c r="Y30" s="98"/>
      <c r="Z30" s="97"/>
      <c r="AA30" s="81"/>
      <c r="AB30" s="81"/>
      <c r="AC30" s="98"/>
    </row>
    <row r="31" spans="1:29" s="122" customFormat="1" ht="15.75" thickBot="1" x14ac:dyDescent="0.3">
      <c r="A31" s="277"/>
      <c r="B31" s="51">
        <v>37355</v>
      </c>
      <c r="C31" s="124" t="s">
        <v>64</v>
      </c>
      <c r="D31" s="193">
        <f>139660/2/1080</f>
        <v>64.657407407407405</v>
      </c>
      <c r="E31" s="81">
        <f>139660/2/1080</f>
        <v>64.657407407407405</v>
      </c>
      <c r="F31" s="81"/>
      <c r="G31" s="81"/>
      <c r="H31" s="81"/>
      <c r="I31" s="96"/>
      <c r="J31" s="83"/>
      <c r="K31" s="81"/>
      <c r="L31" s="81"/>
      <c r="M31" s="81"/>
      <c r="N31" s="81"/>
      <c r="O31" s="82"/>
      <c r="P31" s="83"/>
      <c r="Q31" s="81"/>
      <c r="R31" s="81"/>
      <c r="S31" s="81"/>
      <c r="T31" s="81"/>
      <c r="U31" s="83"/>
      <c r="V31" s="81"/>
      <c r="W31" s="81"/>
      <c r="X31" s="81"/>
      <c r="Y31" s="82"/>
      <c r="Z31" s="97"/>
      <c r="AA31" s="81"/>
      <c r="AB31" s="81"/>
      <c r="AC31" s="82"/>
    </row>
    <row r="32" spans="1:29" s="122" customFormat="1" ht="15.75" thickBot="1" x14ac:dyDescent="0.3">
      <c r="A32" s="277"/>
      <c r="B32" s="53">
        <v>38055</v>
      </c>
      <c r="C32" s="124" t="s">
        <v>65</v>
      </c>
      <c r="D32" s="193">
        <f>131130/2/1121</f>
        <v>58.487957181088312</v>
      </c>
      <c r="E32" s="81">
        <f>131130/2/1121</f>
        <v>58.487957181088312</v>
      </c>
      <c r="F32" s="81">
        <f>129210/2/1121</f>
        <v>57.631578947368418</v>
      </c>
      <c r="G32" s="81">
        <f>129640/2/1121</f>
        <v>57.823371989295275</v>
      </c>
      <c r="H32" s="81"/>
      <c r="I32" s="96"/>
      <c r="J32" s="83"/>
      <c r="K32" s="81"/>
      <c r="L32" s="81"/>
      <c r="M32" s="81"/>
      <c r="N32" s="81"/>
      <c r="O32" s="82"/>
      <c r="P32" s="83"/>
      <c r="Q32" s="81"/>
      <c r="R32" s="81"/>
      <c r="S32" s="81"/>
      <c r="T32" s="81"/>
      <c r="U32" s="83"/>
      <c r="V32" s="81"/>
      <c r="W32" s="81"/>
      <c r="X32" s="81"/>
      <c r="Y32" s="82"/>
      <c r="Z32" s="97"/>
      <c r="AA32" s="81"/>
      <c r="AB32" s="81"/>
      <c r="AC32" s="82"/>
    </row>
    <row r="33" spans="1:29" s="122" customFormat="1" ht="15.75" thickBot="1" x14ac:dyDescent="0.3">
      <c r="A33" s="277"/>
      <c r="B33" s="53">
        <v>38086</v>
      </c>
      <c r="C33" s="124" t="s">
        <v>121</v>
      </c>
      <c r="D33" s="193">
        <f>139660/2/1080</f>
        <v>64.657407407407405</v>
      </c>
      <c r="E33" s="81">
        <f>139660/2/1080</f>
        <v>64.657407407407405</v>
      </c>
      <c r="F33" s="81"/>
      <c r="G33" s="81"/>
      <c r="H33" s="81"/>
      <c r="I33" s="96"/>
      <c r="J33" s="83"/>
      <c r="K33" s="81"/>
      <c r="L33" s="81"/>
      <c r="M33" s="81"/>
      <c r="N33" s="81"/>
      <c r="O33" s="82"/>
      <c r="P33" s="83"/>
      <c r="Q33" s="81"/>
      <c r="R33" s="81"/>
      <c r="S33" s="81"/>
      <c r="T33" s="81"/>
      <c r="U33" s="83"/>
      <c r="V33" s="81"/>
      <c r="W33" s="81"/>
      <c r="X33" s="81"/>
      <c r="Y33" s="82"/>
      <c r="Z33" s="97"/>
      <c r="AA33" s="81"/>
      <c r="AB33" s="81"/>
      <c r="AC33" s="82"/>
    </row>
    <row r="34" spans="1:29" s="122" customFormat="1" ht="14.25" customHeight="1" thickBot="1" x14ac:dyDescent="0.3">
      <c r="A34" s="277"/>
      <c r="B34" s="53">
        <v>37689</v>
      </c>
      <c r="C34" s="124" t="s">
        <v>66</v>
      </c>
      <c r="D34" s="193">
        <f>131130/2/1121</f>
        <v>58.487957181088312</v>
      </c>
      <c r="E34" s="81">
        <f>131130/2/1121</f>
        <v>58.487957181088312</v>
      </c>
      <c r="F34" s="81">
        <f>129210/2/1121</f>
        <v>57.631578947368418</v>
      </c>
      <c r="G34" s="81">
        <f>129640/2/1121</f>
        <v>57.823371989295275</v>
      </c>
      <c r="H34" s="81"/>
      <c r="I34" s="96"/>
      <c r="J34" s="97">
        <f>55870/2/896.8</f>
        <v>31.149643175735953</v>
      </c>
      <c r="K34" s="81">
        <f>55870/2/896.8</f>
        <v>31.149643175735953</v>
      </c>
      <c r="L34" s="81"/>
      <c r="M34" s="81"/>
      <c r="N34" s="81"/>
      <c r="O34" s="82"/>
      <c r="P34" s="81">
        <f>69830/2/1121</f>
        <v>31.146297948260482</v>
      </c>
      <c r="Q34" s="81"/>
      <c r="R34" s="81"/>
      <c r="S34" s="81"/>
      <c r="T34" s="81"/>
      <c r="U34" s="83"/>
      <c r="V34" s="81"/>
      <c r="W34" s="81"/>
      <c r="X34" s="81"/>
      <c r="Y34" s="82"/>
      <c r="Z34" s="97"/>
      <c r="AA34" s="81"/>
      <c r="AB34" s="81"/>
      <c r="AC34" s="82"/>
    </row>
    <row r="35" spans="1:29" s="122" customFormat="1" ht="15.75" thickBot="1" x14ac:dyDescent="0.3">
      <c r="A35" s="277"/>
      <c r="B35" s="51">
        <v>37720</v>
      </c>
      <c r="C35" s="124" t="s">
        <v>67</v>
      </c>
      <c r="D35" s="193">
        <f>139660/2/1080</f>
        <v>64.657407407407405</v>
      </c>
      <c r="E35" s="81">
        <f>139660/2/1080</f>
        <v>64.657407407407405</v>
      </c>
      <c r="F35" s="81"/>
      <c r="G35" s="81"/>
      <c r="H35" s="81"/>
      <c r="I35" s="96"/>
      <c r="J35" s="83"/>
      <c r="K35" s="81"/>
      <c r="L35" s="81"/>
      <c r="M35" s="81"/>
      <c r="N35" s="81"/>
      <c r="O35" s="82"/>
      <c r="P35" s="83"/>
      <c r="Q35" s="81"/>
      <c r="R35" s="81"/>
      <c r="S35" s="81"/>
      <c r="T35" s="81"/>
      <c r="U35" s="97"/>
      <c r="V35" s="6"/>
      <c r="W35" s="81"/>
      <c r="X35" s="81"/>
      <c r="Y35" s="82"/>
      <c r="Z35" s="97"/>
      <c r="AA35" s="81"/>
      <c r="AB35" s="81"/>
      <c r="AC35" s="82"/>
    </row>
    <row r="36" spans="1:29" s="122" customFormat="1" ht="15.75" thickBot="1" x14ac:dyDescent="0.3">
      <c r="A36" s="277"/>
      <c r="B36" s="53" t="s">
        <v>27</v>
      </c>
      <c r="C36" s="124" t="s">
        <v>68</v>
      </c>
      <c r="D36" s="193">
        <f>113120/2/1121</f>
        <v>50.454950936663693</v>
      </c>
      <c r="E36" s="81">
        <f>113120/2/1121</f>
        <v>50.454950936663693</v>
      </c>
      <c r="F36" s="81">
        <f>113720/2/1121</f>
        <v>50.72256913470116</v>
      </c>
      <c r="G36" s="81">
        <f>118270/2/1121</f>
        <v>52.752007136485283</v>
      </c>
      <c r="H36" s="81"/>
      <c r="I36" s="96"/>
      <c r="J36" s="83">
        <f>55870/2/896.8</f>
        <v>31.149643175735953</v>
      </c>
      <c r="K36" s="81">
        <f>55870/2/896.8</f>
        <v>31.149643175735953</v>
      </c>
      <c r="L36" s="81">
        <f>58940/2/896.8</f>
        <v>32.86128456735058</v>
      </c>
      <c r="M36" s="81">
        <f>61280/2/896.8</f>
        <v>34.165923282783233</v>
      </c>
      <c r="N36" s="81">
        <f>61280/2/896.8</f>
        <v>34.165923282783233</v>
      </c>
      <c r="O36" s="82"/>
      <c r="P36" s="81">
        <f>69830/2/1121</f>
        <v>31.146297948260482</v>
      </c>
      <c r="Q36" s="81"/>
      <c r="R36" s="81"/>
      <c r="S36" s="81"/>
      <c r="T36" s="81"/>
      <c r="U36" s="83"/>
      <c r="V36" s="81"/>
      <c r="W36" s="81"/>
      <c r="X36" s="81"/>
      <c r="Y36" s="82"/>
      <c r="Z36" s="97"/>
      <c r="AA36" s="81"/>
      <c r="AB36" s="81"/>
      <c r="AC36" s="82"/>
    </row>
    <row r="37" spans="1:29" s="122" customFormat="1" ht="15.75" thickBot="1" x14ac:dyDescent="0.3">
      <c r="A37" s="277"/>
      <c r="B37" s="51" t="s">
        <v>28</v>
      </c>
      <c r="C37" s="124" t="s">
        <v>69</v>
      </c>
      <c r="D37" s="193">
        <f>121720/2/1080</f>
        <v>56.351851851851855</v>
      </c>
      <c r="E37" s="81">
        <f>121720/2/1080</f>
        <v>56.351851851851855</v>
      </c>
      <c r="F37" s="81"/>
      <c r="G37" s="81"/>
      <c r="H37" s="81"/>
      <c r="I37" s="96"/>
      <c r="J37" s="83"/>
      <c r="K37" s="81"/>
      <c r="L37" s="81"/>
      <c r="M37" s="81"/>
      <c r="N37" s="81"/>
      <c r="O37" s="82"/>
      <c r="P37" s="83"/>
      <c r="Q37" s="81"/>
      <c r="R37" s="81"/>
      <c r="S37" s="81"/>
      <c r="T37" s="81"/>
      <c r="U37" s="97"/>
      <c r="V37" s="81"/>
      <c r="W37" s="81"/>
      <c r="X37" s="81"/>
      <c r="Y37" s="82"/>
      <c r="Z37" s="97"/>
      <c r="AA37" s="81"/>
      <c r="AB37" s="81"/>
      <c r="AC37" s="82"/>
    </row>
    <row r="38" spans="1:29" s="122" customFormat="1" ht="15.75" thickBot="1" x14ac:dyDescent="0.3">
      <c r="A38" s="277"/>
      <c r="B38" s="54" t="s">
        <v>29</v>
      </c>
      <c r="C38" s="126" t="s">
        <v>70</v>
      </c>
      <c r="D38" s="305">
        <f>113120/2/1121</f>
        <v>50.454950936663693</v>
      </c>
      <c r="E38" s="306">
        <f>113120/2/1121</f>
        <v>50.454950936663693</v>
      </c>
      <c r="F38" s="84">
        <f>113720/2/1121</f>
        <v>50.72256913470116</v>
      </c>
      <c r="G38" s="84">
        <f>118270/2/1121</f>
        <v>52.752007136485283</v>
      </c>
      <c r="H38" s="84"/>
      <c r="I38" s="99"/>
      <c r="J38" s="89"/>
      <c r="K38" s="84"/>
      <c r="L38" s="84"/>
      <c r="M38" s="84"/>
      <c r="N38" s="84"/>
      <c r="O38" s="85"/>
      <c r="P38" s="89"/>
      <c r="Q38" s="84"/>
      <c r="R38" s="84"/>
      <c r="S38" s="84"/>
      <c r="T38" s="84"/>
      <c r="U38" s="89"/>
      <c r="V38" s="84"/>
      <c r="W38" s="84"/>
      <c r="X38" s="84"/>
      <c r="Y38" s="85"/>
      <c r="Z38" s="89"/>
      <c r="AA38" s="84"/>
      <c r="AB38" s="84"/>
      <c r="AC38" s="85"/>
    </row>
    <row r="39" spans="1:29" s="122" customFormat="1" ht="15.75" customHeight="1" thickBot="1" x14ac:dyDescent="0.3">
      <c r="A39" s="277" t="s">
        <v>34</v>
      </c>
      <c r="B39" s="50">
        <v>37316</v>
      </c>
      <c r="C39" s="123" t="s">
        <v>99</v>
      </c>
      <c r="D39" s="307">
        <f>113120/2/1121</f>
        <v>50.454950936663693</v>
      </c>
      <c r="E39" s="7">
        <f>113120/2/1121</f>
        <v>50.454950936663693</v>
      </c>
      <c r="F39" s="7">
        <f>110950/2/1121</f>
        <v>49.487065120428191</v>
      </c>
      <c r="G39" s="7">
        <f>111080/2/1121</f>
        <v>49.545049063336307</v>
      </c>
      <c r="H39" s="7"/>
      <c r="I39" s="8"/>
      <c r="J39" s="9"/>
      <c r="K39" s="7"/>
      <c r="L39" s="7"/>
      <c r="M39" s="7"/>
      <c r="N39" s="7"/>
      <c r="O39" s="8"/>
      <c r="P39" s="9"/>
      <c r="Q39" s="7"/>
      <c r="R39" s="7"/>
      <c r="S39" s="7"/>
      <c r="T39" s="7"/>
      <c r="U39" s="105"/>
      <c r="V39" s="153"/>
      <c r="W39" s="153"/>
      <c r="X39" s="153"/>
      <c r="Y39" s="106"/>
      <c r="Z39" s="153"/>
      <c r="AA39" s="153"/>
      <c r="AB39" s="153"/>
      <c r="AC39" s="106"/>
    </row>
    <row r="40" spans="1:29" s="122" customFormat="1" ht="15.75" thickBot="1" x14ac:dyDescent="0.3">
      <c r="A40" s="277"/>
      <c r="B40" s="51">
        <v>37347</v>
      </c>
      <c r="C40" s="124" t="s">
        <v>76</v>
      </c>
      <c r="D40" s="13">
        <f>121720/2/1080</f>
        <v>56.351851851851855</v>
      </c>
      <c r="E40" s="81">
        <f>121720/2/1080</f>
        <v>56.351851851851855</v>
      </c>
      <c r="F40" s="14"/>
      <c r="G40" s="14"/>
      <c r="H40" s="14"/>
      <c r="I40" s="15"/>
      <c r="J40" s="132"/>
      <c r="K40" s="14"/>
      <c r="L40" s="14"/>
      <c r="M40" s="14"/>
      <c r="N40" s="14"/>
      <c r="O40" s="15"/>
      <c r="P40" s="132"/>
      <c r="Q40" s="14"/>
      <c r="R40" s="14"/>
      <c r="S40" s="14"/>
      <c r="T40" s="14"/>
      <c r="U40" s="44"/>
      <c r="V40" s="131"/>
      <c r="W40" s="131"/>
      <c r="X40" s="131"/>
      <c r="Y40" s="47"/>
      <c r="Z40" s="131"/>
      <c r="AA40" s="131"/>
      <c r="AB40" s="131"/>
      <c r="AC40" s="47"/>
    </row>
    <row r="41" spans="1:29" s="122" customFormat="1" ht="15.75" thickBot="1" x14ac:dyDescent="0.3">
      <c r="A41" s="277"/>
      <c r="B41" s="51">
        <v>37707</v>
      </c>
      <c r="C41" s="124" t="s">
        <v>77</v>
      </c>
      <c r="D41" s="13">
        <f>127940/2/1121</f>
        <v>57.065120428189118</v>
      </c>
      <c r="E41" s="14">
        <f>131130/2/1121</f>
        <v>58.487957181088312</v>
      </c>
      <c r="F41" s="14">
        <f>129210/2/1121</f>
        <v>57.631578947368418</v>
      </c>
      <c r="G41" s="14">
        <f>129640/2/1121</f>
        <v>57.823371989295275</v>
      </c>
      <c r="H41" s="14"/>
      <c r="I41" s="15"/>
      <c r="J41" s="132"/>
      <c r="K41" s="14"/>
      <c r="L41" s="14"/>
      <c r="M41" s="14"/>
      <c r="N41" s="14"/>
      <c r="O41" s="15"/>
      <c r="P41" s="132"/>
      <c r="Q41" s="14"/>
      <c r="R41" s="14"/>
      <c r="S41" s="14"/>
      <c r="T41" s="14"/>
      <c r="U41" s="44"/>
      <c r="V41" s="131"/>
      <c r="W41" s="131"/>
      <c r="X41" s="131"/>
      <c r="Y41" s="47"/>
      <c r="Z41" s="131"/>
      <c r="AA41" s="131"/>
      <c r="AB41" s="131"/>
      <c r="AC41" s="47"/>
    </row>
    <row r="42" spans="1:29" s="122" customFormat="1" ht="15.75" thickBot="1" x14ac:dyDescent="0.3">
      <c r="A42" s="277"/>
      <c r="B42" s="51">
        <v>36966</v>
      </c>
      <c r="C42" s="124" t="s">
        <v>100</v>
      </c>
      <c r="D42" s="13">
        <f>156160/2/1121</f>
        <v>69.652096342551289</v>
      </c>
      <c r="E42" s="14">
        <f>162170/2/1121</f>
        <v>72.332738626226586</v>
      </c>
      <c r="F42" s="14">
        <f>171080/2/1121</f>
        <v>76.306868867082969</v>
      </c>
      <c r="G42" s="14">
        <f>177920/2/1121</f>
        <v>79.357716324710083</v>
      </c>
      <c r="H42" s="14"/>
      <c r="I42" s="15"/>
      <c r="J42" s="43"/>
      <c r="K42" s="14"/>
      <c r="L42" s="14"/>
      <c r="M42" s="14"/>
      <c r="N42" s="14"/>
      <c r="O42" s="15"/>
      <c r="P42" s="43"/>
      <c r="Q42" s="14"/>
      <c r="R42" s="14"/>
      <c r="S42" s="14"/>
      <c r="T42" s="14"/>
      <c r="U42" s="44"/>
      <c r="V42" s="131"/>
      <c r="W42" s="131"/>
      <c r="X42" s="131"/>
      <c r="Y42" s="47"/>
      <c r="Z42" s="131"/>
      <c r="AA42" s="131"/>
      <c r="AB42" s="131"/>
      <c r="AC42" s="47"/>
    </row>
    <row r="43" spans="1:29" s="122" customFormat="1" ht="15.75" thickBot="1" x14ac:dyDescent="0.3">
      <c r="A43" s="277"/>
      <c r="B43" s="51">
        <v>36997</v>
      </c>
      <c r="C43" s="124" t="s">
        <v>101</v>
      </c>
      <c r="D43" s="13">
        <f>164460/2/1080</f>
        <v>76.138888888888886</v>
      </c>
      <c r="E43" s="81">
        <f>171340/2/1080</f>
        <v>79.324074074074076</v>
      </c>
      <c r="F43" s="14"/>
      <c r="G43" s="14"/>
      <c r="H43" s="20"/>
      <c r="I43" s="15"/>
      <c r="J43" s="43"/>
      <c r="K43" s="14"/>
      <c r="L43" s="14"/>
      <c r="M43" s="14"/>
      <c r="N43" s="14"/>
      <c r="O43" s="15"/>
      <c r="P43" s="43"/>
      <c r="Q43" s="14"/>
      <c r="R43" s="14"/>
      <c r="S43" s="14"/>
      <c r="T43" s="14"/>
      <c r="U43" s="44"/>
      <c r="V43" s="131"/>
      <c r="W43" s="131"/>
      <c r="X43" s="131"/>
      <c r="Y43" s="47"/>
      <c r="Z43" s="131"/>
      <c r="AA43" s="131"/>
      <c r="AB43" s="131"/>
      <c r="AC43" s="47"/>
    </row>
    <row r="44" spans="1:29" s="122" customFormat="1" ht="15.75" thickBot="1" x14ac:dyDescent="0.3">
      <c r="A44" s="277"/>
      <c r="B44" s="51">
        <v>36968</v>
      </c>
      <c r="C44" s="124" t="s">
        <v>79</v>
      </c>
      <c r="D44" s="13">
        <f>127940/2/1121</f>
        <v>57.065120428189118</v>
      </c>
      <c r="E44" s="14">
        <f>131130/2/1121</f>
        <v>58.487957181088312</v>
      </c>
      <c r="F44" s="14">
        <f>129210/2/1121</f>
        <v>57.631578947368418</v>
      </c>
      <c r="G44" s="14">
        <f>129640/2/1121</f>
        <v>57.823371989295275</v>
      </c>
      <c r="H44" s="14"/>
      <c r="I44" s="15"/>
      <c r="J44" s="132"/>
      <c r="K44" s="14"/>
      <c r="L44" s="14"/>
      <c r="M44" s="14"/>
      <c r="N44" s="14"/>
      <c r="O44" s="15"/>
      <c r="P44" s="132"/>
      <c r="Q44" s="14"/>
      <c r="R44" s="14"/>
      <c r="S44" s="14"/>
      <c r="T44" s="14"/>
      <c r="U44" s="44"/>
      <c r="V44" s="131"/>
      <c r="W44" s="131"/>
      <c r="X44" s="131"/>
      <c r="Y44" s="47"/>
      <c r="Z44" s="131"/>
      <c r="AA44" s="131"/>
      <c r="AB44" s="131"/>
      <c r="AC44" s="47"/>
    </row>
    <row r="45" spans="1:29" s="122" customFormat="1" ht="15.75" thickBot="1" x14ac:dyDescent="0.3">
      <c r="A45" s="277"/>
      <c r="B45" s="56">
        <v>36999</v>
      </c>
      <c r="C45" s="126" t="s">
        <v>80</v>
      </c>
      <c r="D45" s="20">
        <f>136770/2/1080</f>
        <v>63.319444444444443</v>
      </c>
      <c r="E45" s="20"/>
      <c r="F45" s="20"/>
      <c r="G45" s="20"/>
      <c r="H45" s="20"/>
      <c r="I45" s="21"/>
      <c r="J45" s="20"/>
      <c r="K45" s="20"/>
      <c r="L45" s="16"/>
      <c r="M45" s="20"/>
      <c r="N45" s="20"/>
      <c r="O45" s="21"/>
      <c r="P45" s="22"/>
      <c r="Q45" s="20"/>
      <c r="R45" s="20"/>
      <c r="S45" s="20"/>
      <c r="T45" s="20"/>
      <c r="U45" s="22"/>
      <c r="V45" s="20"/>
      <c r="W45" s="20"/>
      <c r="X45" s="154"/>
      <c r="Y45" s="48"/>
      <c r="Z45" s="20"/>
      <c r="AA45" s="20"/>
      <c r="AB45" s="154"/>
      <c r="AC45" s="48"/>
    </row>
    <row r="46" spans="1:29" s="122" customFormat="1" ht="15" customHeight="1" x14ac:dyDescent="0.25">
      <c r="A46" s="293" t="s">
        <v>141</v>
      </c>
      <c r="B46" s="194">
        <v>37342</v>
      </c>
      <c r="C46" s="196" t="s">
        <v>106</v>
      </c>
      <c r="D46" s="25">
        <f>127940/2/1121</f>
        <v>57.065120428189118</v>
      </c>
      <c r="E46" s="135">
        <f>131130/2/1121</f>
        <v>58.487957181088312</v>
      </c>
      <c r="F46" s="135">
        <f>129210/2/1121</f>
        <v>57.631578947368418</v>
      </c>
      <c r="G46" s="135">
        <f>129640/2/1121</f>
        <v>57.823371989295275</v>
      </c>
      <c r="H46" s="135"/>
      <c r="I46" s="136"/>
      <c r="J46" s="144">
        <f>55870/2/896.8</f>
        <v>31.149643175735953</v>
      </c>
      <c r="K46" s="25">
        <f>55870/2/896.8</f>
        <v>31.149643175735953</v>
      </c>
      <c r="L46" s="25">
        <f>58940/2/896.8</f>
        <v>32.86128456735058</v>
      </c>
      <c r="M46" s="135"/>
      <c r="N46" s="135"/>
      <c r="O46" s="136"/>
      <c r="P46" s="144">
        <f>69830/2/1121</f>
        <v>31.146297948260482</v>
      </c>
      <c r="Q46" s="25"/>
      <c r="R46" s="25"/>
      <c r="S46" s="25"/>
      <c r="T46" s="136"/>
      <c r="U46" s="144"/>
      <c r="V46" s="135"/>
      <c r="W46" s="135"/>
      <c r="X46" s="135"/>
      <c r="Y46" s="123"/>
      <c r="Z46" s="144"/>
      <c r="AA46" s="135"/>
      <c r="AB46" s="135"/>
      <c r="AC46" s="136"/>
    </row>
    <row r="47" spans="1:29" s="122" customFormat="1" ht="15" customHeight="1" x14ac:dyDescent="0.25">
      <c r="A47" s="293"/>
      <c r="B47" s="65">
        <v>37373</v>
      </c>
      <c r="C47" s="127" t="s">
        <v>143</v>
      </c>
      <c r="D47" s="133">
        <f>136770/2/1080</f>
        <v>63.319444444444443</v>
      </c>
      <c r="E47" s="159">
        <f>139660/2/1080</f>
        <v>64.657407407407405</v>
      </c>
      <c r="F47" s="138"/>
      <c r="G47" s="138"/>
      <c r="H47" s="134"/>
      <c r="I47" s="137"/>
      <c r="J47" s="146"/>
      <c r="K47" s="134"/>
      <c r="L47" s="134"/>
      <c r="M47" s="134"/>
      <c r="N47" s="134"/>
      <c r="O47" s="137"/>
      <c r="P47" s="146"/>
      <c r="Q47" s="134"/>
      <c r="R47" s="134"/>
      <c r="S47" s="134"/>
      <c r="T47" s="137"/>
      <c r="U47" s="146"/>
      <c r="V47" s="134"/>
      <c r="W47" s="134"/>
      <c r="X47" s="134"/>
      <c r="Y47" s="124"/>
      <c r="Z47" s="146"/>
      <c r="AA47" s="134"/>
      <c r="AB47" s="134"/>
      <c r="AC47" s="137"/>
    </row>
    <row r="48" spans="1:29" s="122" customFormat="1" x14ac:dyDescent="0.25">
      <c r="A48" s="294"/>
      <c r="B48" s="151">
        <v>38073</v>
      </c>
      <c r="C48" s="127" t="s">
        <v>35</v>
      </c>
      <c r="D48" s="133">
        <f>127940/2/1121</f>
        <v>57.065120428189118</v>
      </c>
      <c r="E48" s="134">
        <f>131130/2/1121</f>
        <v>58.487957181088312</v>
      </c>
      <c r="F48" s="134">
        <f>129210/2/1121</f>
        <v>57.631578947368418</v>
      </c>
      <c r="G48" s="134">
        <f>129640/2/1121</f>
        <v>57.823371989295275</v>
      </c>
      <c r="H48" s="134"/>
      <c r="I48" s="137"/>
      <c r="J48" s="146">
        <f>55870/2/896.8</f>
        <v>31.149643175735953</v>
      </c>
      <c r="K48" s="134"/>
      <c r="L48" s="6"/>
      <c r="M48" s="134"/>
      <c r="N48" s="134"/>
      <c r="O48" s="137"/>
      <c r="P48" s="146">
        <f>69830/2/1121</f>
        <v>31.146297948260482</v>
      </c>
      <c r="Q48" s="133">
        <f>69830/2/1121</f>
        <v>31.146297948260482</v>
      </c>
      <c r="R48" s="133">
        <f>73670/2/1121</f>
        <v>32.859054415700271</v>
      </c>
      <c r="S48" s="133">
        <f>76610/2/1121</f>
        <v>34.170383586083851</v>
      </c>
      <c r="T48" s="137"/>
      <c r="U48" s="146"/>
      <c r="V48" s="134"/>
      <c r="W48" s="134"/>
      <c r="X48" s="134"/>
      <c r="Y48" s="124"/>
      <c r="Z48" s="146"/>
      <c r="AA48" s="134"/>
      <c r="AB48" s="134"/>
      <c r="AC48" s="137"/>
    </row>
    <row r="49" spans="1:29" s="122" customFormat="1" x14ac:dyDescent="0.25">
      <c r="A49" s="294"/>
      <c r="B49" s="151">
        <v>38104</v>
      </c>
      <c r="C49" s="127" t="s">
        <v>36</v>
      </c>
      <c r="D49" s="133">
        <f>136770/2/1080</f>
        <v>63.319444444444443</v>
      </c>
      <c r="E49" s="159">
        <f>139660/2/1080</f>
        <v>64.657407407407405</v>
      </c>
      <c r="F49" s="115"/>
      <c r="G49" s="138"/>
      <c r="H49" s="134"/>
      <c r="I49" s="137"/>
      <c r="J49" s="146"/>
      <c r="K49" s="134"/>
      <c r="L49" s="134"/>
      <c r="M49" s="134"/>
      <c r="N49" s="134"/>
      <c r="O49" s="137"/>
      <c r="P49" s="146"/>
      <c r="Q49" s="134"/>
      <c r="R49" s="134"/>
      <c r="S49" s="134"/>
      <c r="T49" s="137"/>
      <c r="U49" s="146"/>
      <c r="V49" s="134"/>
      <c r="W49" s="134"/>
      <c r="X49" s="134"/>
      <c r="Y49" s="124"/>
      <c r="Z49" s="146"/>
      <c r="AA49" s="134"/>
      <c r="AB49" s="134"/>
      <c r="AC49" s="137"/>
    </row>
    <row r="50" spans="1:29" s="122" customFormat="1" x14ac:dyDescent="0.25">
      <c r="A50" s="294"/>
      <c r="B50" s="151">
        <v>37326</v>
      </c>
      <c r="C50" s="127" t="s">
        <v>37</v>
      </c>
      <c r="D50" s="133">
        <f>127940/2/1121</f>
        <v>57.065120428189118</v>
      </c>
      <c r="E50" s="134">
        <f>131130/2/1121</f>
        <v>58.487957181088312</v>
      </c>
      <c r="F50" s="134">
        <f>129210/2/1121</f>
        <v>57.631578947368418</v>
      </c>
      <c r="G50" s="134">
        <f>129640/2/1121</f>
        <v>57.823371989295275</v>
      </c>
      <c r="H50" s="79"/>
      <c r="I50" s="137"/>
      <c r="J50" s="146">
        <f>55870/2/896.8</f>
        <v>31.149643175735953</v>
      </c>
      <c r="K50" s="6"/>
      <c r="L50" s="133"/>
      <c r="M50" s="133">
        <f>61280/2/896.8</f>
        <v>34.165923282783233</v>
      </c>
      <c r="N50" s="134"/>
      <c r="O50" s="137"/>
      <c r="P50" s="146">
        <f>69830/2/1121</f>
        <v>31.146297948260482</v>
      </c>
      <c r="Q50" s="133">
        <f>69830/2/1121</f>
        <v>31.146297948260482</v>
      </c>
      <c r="R50" s="133">
        <f>73670/2/1121</f>
        <v>32.859054415700271</v>
      </c>
      <c r="S50" s="133"/>
      <c r="T50" s="137"/>
      <c r="U50" s="146"/>
      <c r="V50" s="134"/>
      <c r="W50" s="134"/>
      <c r="X50" s="134"/>
      <c r="Y50" s="124"/>
      <c r="Z50" s="146"/>
      <c r="AA50" s="134"/>
      <c r="AB50" s="134"/>
      <c r="AC50" s="137"/>
    </row>
    <row r="51" spans="1:29" s="122" customFormat="1" x14ac:dyDescent="0.25">
      <c r="A51" s="294"/>
      <c r="B51" s="151">
        <v>37357</v>
      </c>
      <c r="C51" s="127" t="s">
        <v>38</v>
      </c>
      <c r="D51" s="133">
        <f>136770/2/1080</f>
        <v>63.319444444444443</v>
      </c>
      <c r="E51" s="159">
        <f>139660/2/1080</f>
        <v>64.657407407407405</v>
      </c>
      <c r="F51" s="134"/>
      <c r="G51" s="134"/>
      <c r="H51" s="134"/>
      <c r="I51" s="137"/>
      <c r="J51" s="146">
        <f>59800/2/864</f>
        <v>34.606481481481481</v>
      </c>
      <c r="K51" s="133"/>
      <c r="L51" s="134"/>
      <c r="M51" s="134"/>
      <c r="N51" s="134"/>
      <c r="O51" s="137"/>
      <c r="P51" s="146"/>
      <c r="Q51" s="134"/>
      <c r="R51" s="134"/>
      <c r="S51" s="134"/>
      <c r="T51" s="137"/>
      <c r="U51" s="146"/>
      <c r="V51" s="134"/>
      <c r="W51" s="134"/>
      <c r="X51" s="134"/>
      <c r="Y51" s="124"/>
      <c r="Z51" s="146"/>
      <c r="AA51" s="134"/>
      <c r="AB51" s="134"/>
      <c r="AC51" s="137"/>
    </row>
    <row r="52" spans="1:29" s="122" customFormat="1" x14ac:dyDescent="0.25">
      <c r="A52" s="294"/>
      <c r="B52" s="151">
        <v>36962</v>
      </c>
      <c r="C52" s="127" t="s">
        <v>110</v>
      </c>
      <c r="D52" s="133">
        <f>127940/2/1121</f>
        <v>57.065120428189118</v>
      </c>
      <c r="E52" s="134">
        <f>131130/2/1121</f>
        <v>58.487957181088312</v>
      </c>
      <c r="F52" s="134">
        <f>129210/2/1121</f>
        <v>57.631578947368418</v>
      </c>
      <c r="G52" s="134">
        <f>129640/2/1121</f>
        <v>57.823371989295275</v>
      </c>
      <c r="H52" s="134"/>
      <c r="I52" s="137"/>
      <c r="J52" s="146"/>
      <c r="K52" s="134"/>
      <c r="L52" s="134"/>
      <c r="M52" s="134"/>
      <c r="N52" s="134"/>
      <c r="O52" s="137"/>
      <c r="P52" s="146"/>
      <c r="Q52" s="134"/>
      <c r="R52" s="134"/>
      <c r="S52" s="134"/>
      <c r="T52" s="137"/>
      <c r="U52" s="146"/>
      <c r="V52" s="134"/>
      <c r="W52" s="134"/>
      <c r="X52" s="134"/>
      <c r="Y52" s="124"/>
      <c r="Z52" s="146"/>
      <c r="AA52" s="134"/>
      <c r="AB52" s="6"/>
      <c r="AC52" s="137"/>
    </row>
    <row r="53" spans="1:29" s="122" customFormat="1" ht="16.5" customHeight="1" x14ac:dyDescent="0.25">
      <c r="A53" s="294"/>
      <c r="B53" s="151">
        <v>36993</v>
      </c>
      <c r="C53" s="127" t="s">
        <v>48</v>
      </c>
      <c r="D53" s="133">
        <f>136770/2/1080</f>
        <v>63.319444444444443</v>
      </c>
      <c r="E53" s="134">
        <f>139660/2/1080</f>
        <v>64.657407407407405</v>
      </c>
      <c r="F53" s="134"/>
      <c r="G53" s="134"/>
      <c r="H53" s="134"/>
      <c r="I53" s="137"/>
      <c r="J53" s="146"/>
      <c r="K53" s="134"/>
      <c r="L53" s="134"/>
      <c r="M53" s="134"/>
      <c r="N53" s="134"/>
      <c r="O53" s="137"/>
      <c r="P53" s="146"/>
      <c r="Q53" s="134"/>
      <c r="R53" s="134"/>
      <c r="S53" s="134"/>
      <c r="T53" s="137"/>
      <c r="U53" s="146"/>
      <c r="V53" s="134"/>
      <c r="W53" s="134"/>
      <c r="X53" s="134"/>
      <c r="Y53" s="124"/>
      <c r="Z53" s="146"/>
      <c r="AA53" s="134"/>
      <c r="AB53" s="6"/>
      <c r="AC53" s="137"/>
    </row>
    <row r="54" spans="1:29" s="122" customFormat="1" ht="16.5" customHeight="1" x14ac:dyDescent="0.25">
      <c r="A54" s="294"/>
      <c r="B54" s="151">
        <v>38057</v>
      </c>
      <c r="C54" s="127" t="s">
        <v>46</v>
      </c>
      <c r="D54" s="133">
        <f>127940/2/1121</f>
        <v>57.065120428189118</v>
      </c>
      <c r="E54" s="134">
        <f>131130/2/1121</f>
        <v>58.487957181088312</v>
      </c>
      <c r="F54" s="134">
        <f>129210/2/1121</f>
        <v>57.631578947368418</v>
      </c>
      <c r="G54" s="134">
        <f>129640/2/1121</f>
        <v>57.823371989295275</v>
      </c>
      <c r="H54" s="134"/>
      <c r="I54" s="137"/>
      <c r="J54" s="146"/>
      <c r="K54" s="134"/>
      <c r="L54" s="134"/>
      <c r="M54" s="134"/>
      <c r="N54" s="134"/>
      <c r="O54" s="137"/>
      <c r="P54" s="146"/>
      <c r="Q54" s="134"/>
      <c r="R54" s="134"/>
      <c r="S54" s="134"/>
      <c r="T54" s="137"/>
      <c r="U54" s="146"/>
      <c r="V54" s="134"/>
      <c r="W54" s="134"/>
      <c r="X54" s="134"/>
      <c r="Y54" s="124"/>
      <c r="Z54" s="146"/>
      <c r="AA54" s="134"/>
      <c r="AB54" s="134"/>
      <c r="AC54" s="137"/>
    </row>
    <row r="55" spans="1:29" s="122" customFormat="1" x14ac:dyDescent="0.25">
      <c r="A55" s="294"/>
      <c r="B55" s="151">
        <v>38088</v>
      </c>
      <c r="C55" s="127" t="s">
        <v>47</v>
      </c>
      <c r="D55" s="133">
        <f>136770/2/1080</f>
        <v>63.319444444444443</v>
      </c>
      <c r="E55" s="134">
        <f>139660/2/1080</f>
        <v>64.657407407407405</v>
      </c>
      <c r="F55" s="134"/>
      <c r="G55" s="134"/>
      <c r="H55" s="134"/>
      <c r="I55" s="137"/>
      <c r="J55" s="146">
        <f>59800/2/864</f>
        <v>34.606481481481481</v>
      </c>
      <c r="K55" s="6"/>
      <c r="L55" s="133"/>
      <c r="M55" s="134"/>
      <c r="N55" s="134"/>
      <c r="O55" s="137"/>
      <c r="P55" s="146"/>
      <c r="Q55" s="134"/>
      <c r="R55" s="134"/>
      <c r="S55" s="134"/>
      <c r="T55" s="137"/>
      <c r="U55" s="146"/>
      <c r="V55" s="134"/>
      <c r="W55" s="134"/>
      <c r="X55" s="134"/>
      <c r="Y55" s="124"/>
      <c r="Z55" s="146"/>
      <c r="AA55" s="134"/>
      <c r="AB55" s="134"/>
      <c r="AC55" s="137"/>
    </row>
    <row r="56" spans="1:29" s="122" customFormat="1" x14ac:dyDescent="0.25">
      <c r="A56" s="294"/>
      <c r="B56" s="66">
        <v>36961</v>
      </c>
      <c r="C56" s="197" t="s">
        <v>111</v>
      </c>
      <c r="D56" s="133">
        <f>127940/2/1121</f>
        <v>57.065120428189118</v>
      </c>
      <c r="E56" s="134">
        <f>131130/2/1121</f>
        <v>58.487957181088312</v>
      </c>
      <c r="F56" s="134">
        <f>129210/2/1121</f>
        <v>57.631578947368418</v>
      </c>
      <c r="G56" s="134">
        <f>129640/2/1121</f>
        <v>57.823371989295275</v>
      </c>
      <c r="H56" s="134"/>
      <c r="I56" s="137"/>
      <c r="J56" s="146"/>
      <c r="K56" s="134"/>
      <c r="L56" s="134"/>
      <c r="M56" s="134"/>
      <c r="N56" s="134"/>
      <c r="O56" s="137"/>
      <c r="P56" s="146"/>
      <c r="Q56" s="134"/>
      <c r="R56" s="134"/>
      <c r="S56" s="134"/>
      <c r="T56" s="137"/>
      <c r="U56" s="146"/>
      <c r="V56" s="134"/>
      <c r="W56" s="134"/>
      <c r="X56" s="134"/>
      <c r="Y56" s="124"/>
      <c r="Z56" s="146"/>
      <c r="AA56" s="134"/>
      <c r="AB56" s="6"/>
      <c r="AC56" s="137"/>
    </row>
    <row r="57" spans="1:29" s="122" customFormat="1" x14ac:dyDescent="0.25">
      <c r="A57" s="294"/>
      <c r="B57" s="195">
        <v>37751</v>
      </c>
      <c r="C57" s="124" t="s">
        <v>61</v>
      </c>
      <c r="D57" s="193">
        <f>127940/2/1112.8</f>
        <v>57.485621854780739</v>
      </c>
      <c r="E57" s="81">
        <f>131130/2/1112.8</f>
        <v>58.918943206326389</v>
      </c>
      <c r="F57" s="81">
        <f>129210/2/1112.8</f>
        <v>58.056254493170385</v>
      </c>
      <c r="G57" s="81">
        <f>129640/2/1112.8</f>
        <v>58.24946081955428</v>
      </c>
      <c r="H57" s="81">
        <f>134430/2/1112.8</f>
        <v>60.401689432063264</v>
      </c>
      <c r="I57" s="82"/>
      <c r="J57" s="83"/>
      <c r="K57" s="81"/>
      <c r="L57" s="81"/>
      <c r="M57" s="81"/>
      <c r="N57" s="81"/>
      <c r="O57" s="82"/>
      <c r="P57" s="83"/>
      <c r="Q57" s="81"/>
      <c r="R57" s="81"/>
      <c r="S57" s="81"/>
      <c r="T57" s="82"/>
      <c r="U57" s="83"/>
      <c r="V57" s="81"/>
      <c r="W57" s="81"/>
      <c r="X57" s="81"/>
      <c r="Y57" s="82"/>
      <c r="Z57" s="83"/>
      <c r="AA57" s="81"/>
      <c r="AB57" s="81"/>
      <c r="AC57" s="82"/>
    </row>
    <row r="58" spans="1:29" s="122" customFormat="1" x14ac:dyDescent="0.25">
      <c r="A58" s="294"/>
      <c r="B58" s="195">
        <v>36960</v>
      </c>
      <c r="C58" s="124" t="s">
        <v>62</v>
      </c>
      <c r="D58" s="133">
        <f>127940/2/1121</f>
        <v>57.065120428189118</v>
      </c>
      <c r="E58" s="134">
        <f>131130/2/1121</f>
        <v>58.487957181088312</v>
      </c>
      <c r="F58" s="134">
        <f>129210/2/1121</f>
        <v>57.631578947368418</v>
      </c>
      <c r="G58" s="134">
        <f>129640/2/1121</f>
        <v>57.823371989295275</v>
      </c>
      <c r="H58" s="81"/>
      <c r="I58" s="82"/>
      <c r="J58" s="83"/>
      <c r="K58" s="81"/>
      <c r="L58" s="81"/>
      <c r="M58" s="81"/>
      <c r="N58" s="81"/>
      <c r="O58" s="82"/>
      <c r="P58" s="83"/>
      <c r="Q58" s="81"/>
      <c r="R58" s="81"/>
      <c r="S58" s="81"/>
      <c r="T58" s="82"/>
      <c r="U58" s="83"/>
      <c r="V58" s="81"/>
      <c r="W58" s="81"/>
      <c r="X58" s="81"/>
      <c r="Y58" s="82"/>
      <c r="Z58" s="83"/>
      <c r="AA58" s="81"/>
      <c r="AB58" s="81"/>
      <c r="AC58" s="82"/>
    </row>
    <row r="59" spans="1:29" s="122" customFormat="1" x14ac:dyDescent="0.25">
      <c r="A59" s="294"/>
      <c r="B59" s="195">
        <v>36991</v>
      </c>
      <c r="C59" s="124" t="s">
        <v>131</v>
      </c>
      <c r="D59" s="133">
        <f>136770/2/1080</f>
        <v>63.319444444444443</v>
      </c>
      <c r="E59" s="133">
        <f>139660/2/1080</f>
        <v>64.657407407407405</v>
      </c>
      <c r="F59" s="81"/>
      <c r="G59" s="81"/>
      <c r="H59" s="81"/>
      <c r="I59" s="82"/>
      <c r="J59" s="83"/>
      <c r="K59" s="81"/>
      <c r="L59" s="81"/>
      <c r="M59" s="81"/>
      <c r="N59" s="81"/>
      <c r="O59" s="82"/>
      <c r="P59" s="83"/>
      <c r="Q59" s="81"/>
      <c r="R59" s="81"/>
      <c r="S59" s="81"/>
      <c r="T59" s="82"/>
      <c r="U59" s="83">
        <f>65770/2/864</f>
        <v>38.061342592592595</v>
      </c>
      <c r="V59" s="81">
        <f>65770/2/864</f>
        <v>38.061342592592595</v>
      </c>
      <c r="W59" s="81">
        <f>69380/2/864</f>
        <v>40.150462962962962</v>
      </c>
      <c r="X59" s="81"/>
      <c r="Y59" s="82"/>
      <c r="Z59" s="83"/>
      <c r="AA59" s="81"/>
      <c r="AB59" s="81"/>
      <c r="AC59" s="82"/>
    </row>
    <row r="60" spans="1:29" s="122" customFormat="1" ht="15.75" thickBot="1" x14ac:dyDescent="0.3">
      <c r="A60" s="295"/>
      <c r="B60" s="74">
        <v>37038</v>
      </c>
      <c r="C60" s="63" t="s">
        <v>122</v>
      </c>
      <c r="D60" s="23"/>
      <c r="E60" s="140"/>
      <c r="F60" s="113"/>
      <c r="G60" s="140"/>
      <c r="H60" s="140">
        <f>134430/2/1112.8</f>
        <v>60.401689432063264</v>
      </c>
      <c r="I60" s="141"/>
      <c r="J60" s="148"/>
      <c r="K60" s="140"/>
      <c r="L60" s="140"/>
      <c r="M60" s="140"/>
      <c r="N60" s="140"/>
      <c r="O60" s="141"/>
      <c r="P60" s="148"/>
      <c r="Q60" s="140"/>
      <c r="R60" s="140"/>
      <c r="S60" s="140"/>
      <c r="T60" s="141"/>
      <c r="U60" s="148"/>
      <c r="V60" s="140"/>
      <c r="W60" s="140"/>
      <c r="X60" s="140"/>
      <c r="Y60" s="126"/>
      <c r="Z60" s="148"/>
      <c r="AA60" s="140"/>
      <c r="AB60" s="113"/>
      <c r="AC60" s="141"/>
    </row>
    <row r="61" spans="1:29" s="122" customFormat="1" ht="15.75" customHeight="1" x14ac:dyDescent="0.25">
      <c r="A61" s="278" t="s">
        <v>155</v>
      </c>
      <c r="B61" s="61">
        <v>36965</v>
      </c>
      <c r="C61" s="150" t="s">
        <v>39</v>
      </c>
      <c r="D61" s="146">
        <f>127940/2/1121</f>
        <v>57.065120428189118</v>
      </c>
      <c r="E61" s="134">
        <f>131130/2/1121</f>
        <v>58.487957181088312</v>
      </c>
      <c r="F61" s="134">
        <f>129210/2/1121</f>
        <v>57.631578947368418</v>
      </c>
      <c r="G61" s="134">
        <f>129640/2/1121</f>
        <v>57.823371989295275</v>
      </c>
      <c r="H61" s="142"/>
      <c r="I61" s="143"/>
      <c r="J61" s="24">
        <f>55870/2/896.8</f>
        <v>31.149643175735953</v>
      </c>
      <c r="K61" s="142"/>
      <c r="L61" s="142"/>
      <c r="M61" s="142"/>
      <c r="N61" s="134"/>
      <c r="O61" s="143"/>
      <c r="P61" s="152">
        <f>69830/2/1121</f>
        <v>31.146297948260482</v>
      </c>
      <c r="Q61" s="142">
        <f>69830/2/1121</f>
        <v>31.146297948260482</v>
      </c>
      <c r="R61" s="142">
        <f>73670/2/1121</f>
        <v>32.859054415700271</v>
      </c>
      <c r="S61" s="134">
        <f>76610/2/1121</f>
        <v>34.170383586083851</v>
      </c>
      <c r="T61" s="76"/>
      <c r="U61" s="24"/>
      <c r="V61" s="142"/>
      <c r="W61" s="142"/>
      <c r="X61" s="142"/>
      <c r="Y61" s="149"/>
      <c r="Z61" s="24"/>
      <c r="AA61" s="142"/>
      <c r="AB61" s="142"/>
      <c r="AC61" s="143"/>
    </row>
    <row r="62" spans="1:29" s="122" customFormat="1" ht="15.75" customHeight="1" x14ac:dyDescent="0.25">
      <c r="A62" s="278"/>
      <c r="B62" s="57">
        <v>36996</v>
      </c>
      <c r="C62" s="127" t="s">
        <v>107</v>
      </c>
      <c r="D62" s="146">
        <f>136770/2/1080</f>
        <v>63.319444444444443</v>
      </c>
      <c r="E62" s="134">
        <f>139660/2/1080</f>
        <v>64.657407407407405</v>
      </c>
      <c r="F62" s="134"/>
      <c r="G62" s="134"/>
      <c r="H62" s="134"/>
      <c r="I62" s="137"/>
      <c r="J62" s="133"/>
      <c r="K62" s="134"/>
      <c r="L62" s="134"/>
      <c r="M62" s="134"/>
      <c r="N62" s="134"/>
      <c r="O62" s="137"/>
      <c r="P62" s="146"/>
      <c r="Q62" s="134"/>
      <c r="R62" s="73"/>
      <c r="S62" s="134"/>
      <c r="T62" s="58"/>
      <c r="U62" s="133"/>
      <c r="V62" s="134"/>
      <c r="W62" s="134"/>
      <c r="X62" s="134"/>
      <c r="Y62" s="124"/>
      <c r="Z62" s="133"/>
      <c r="AA62" s="134"/>
      <c r="AB62" s="134"/>
      <c r="AC62" s="137"/>
    </row>
    <row r="63" spans="1:29" s="122" customFormat="1" ht="15.75" customHeight="1" x14ac:dyDescent="0.25">
      <c r="A63" s="278"/>
      <c r="B63" s="57">
        <v>38791</v>
      </c>
      <c r="C63" s="127" t="s">
        <v>40</v>
      </c>
      <c r="D63" s="146">
        <f>127940/2/1121</f>
        <v>57.065120428189118</v>
      </c>
      <c r="E63" s="134">
        <f>131130/2/1121</f>
        <v>58.487957181088312</v>
      </c>
      <c r="F63" s="134">
        <f>129210/2/1121</f>
        <v>57.631578947368418</v>
      </c>
      <c r="G63" s="134">
        <f>129640/2/1121</f>
        <v>57.823371989295275</v>
      </c>
      <c r="H63" s="134"/>
      <c r="I63" s="137"/>
      <c r="J63" s="133"/>
      <c r="K63" s="134"/>
      <c r="L63" s="134"/>
      <c r="M63" s="134"/>
      <c r="N63" s="134"/>
      <c r="O63" s="137"/>
      <c r="P63" s="146"/>
      <c r="Q63" s="134"/>
      <c r="R63" s="73"/>
      <c r="S63" s="134"/>
      <c r="T63" s="58"/>
      <c r="U63" s="133"/>
      <c r="V63" s="134"/>
      <c r="W63" s="134"/>
      <c r="X63" s="134"/>
      <c r="Y63" s="124"/>
      <c r="Z63" s="133"/>
      <c r="AA63" s="134"/>
      <c r="AB63" s="134"/>
      <c r="AC63" s="137"/>
    </row>
    <row r="64" spans="1:29" s="122" customFormat="1" ht="15.75" customHeight="1" x14ac:dyDescent="0.25">
      <c r="A64" s="278"/>
      <c r="B64" s="57">
        <v>38822</v>
      </c>
      <c r="C64" s="127" t="s">
        <v>41</v>
      </c>
      <c r="D64" s="146">
        <f>136770/2/1080</f>
        <v>63.319444444444443</v>
      </c>
      <c r="E64" s="134">
        <f>139660/2/1080</f>
        <v>64.657407407407405</v>
      </c>
      <c r="F64" s="134"/>
      <c r="G64" s="134"/>
      <c r="H64" s="134"/>
      <c r="I64" s="137"/>
      <c r="J64" s="146">
        <f>59800/2/864</f>
        <v>34.606481481481481</v>
      </c>
      <c r="K64" s="134"/>
      <c r="L64" s="134"/>
      <c r="M64" s="134"/>
      <c r="N64" s="134"/>
      <c r="O64" s="137"/>
      <c r="P64" s="146"/>
      <c r="Q64" s="134"/>
      <c r="R64" s="73"/>
      <c r="S64" s="134"/>
      <c r="T64" s="58"/>
      <c r="U64" s="133"/>
      <c r="V64" s="134"/>
      <c r="W64" s="134"/>
      <c r="X64" s="134"/>
      <c r="Y64" s="124"/>
      <c r="Z64" s="133"/>
      <c r="AA64" s="134"/>
      <c r="AB64" s="134"/>
      <c r="AC64" s="137"/>
    </row>
    <row r="65" spans="1:29" s="122" customFormat="1" ht="15.75" customHeight="1" x14ac:dyDescent="0.25">
      <c r="A65" s="278"/>
      <c r="B65" s="57">
        <v>38061</v>
      </c>
      <c r="C65" s="127" t="s">
        <v>42</v>
      </c>
      <c r="D65" s="146">
        <f>127940/2/1121</f>
        <v>57.065120428189118</v>
      </c>
      <c r="E65" s="134">
        <f>131130/2/1121</f>
        <v>58.487957181088312</v>
      </c>
      <c r="F65" s="134">
        <f>129210/2/1121</f>
        <v>57.631578947368418</v>
      </c>
      <c r="G65" s="134">
        <f>129640/2/1121</f>
        <v>57.823371989295275</v>
      </c>
      <c r="H65" s="134"/>
      <c r="I65" s="137"/>
      <c r="J65" s="133">
        <f>55870/2/896.8</f>
        <v>31.149643175735953</v>
      </c>
      <c r="K65" s="133"/>
      <c r="L65" s="133"/>
      <c r="N65" s="134"/>
      <c r="O65" s="137"/>
      <c r="P65" s="152">
        <f>69830/2/1121</f>
        <v>31.146297948260482</v>
      </c>
      <c r="Q65" s="142">
        <f>69830/2/1121</f>
        <v>31.146297948260482</v>
      </c>
      <c r="R65" s="142">
        <f>73670/2/1121</f>
        <v>32.859054415700271</v>
      </c>
      <c r="S65" s="134">
        <f>76610/2/1121</f>
        <v>34.170383586083851</v>
      </c>
      <c r="T65" s="58"/>
      <c r="U65" s="133"/>
      <c r="V65" s="134"/>
      <c r="W65" s="134"/>
      <c r="X65" s="134"/>
      <c r="Y65" s="124"/>
      <c r="Z65" s="133"/>
      <c r="AA65" s="134"/>
      <c r="AB65" s="134"/>
      <c r="AC65" s="137"/>
    </row>
    <row r="66" spans="1:29" s="122" customFormat="1" ht="15.75" customHeight="1" x14ac:dyDescent="0.25">
      <c r="A66" s="278"/>
      <c r="B66" s="57">
        <v>38092</v>
      </c>
      <c r="C66" s="127" t="s">
        <v>108</v>
      </c>
      <c r="D66" s="146">
        <f>136770/2/1080</f>
        <v>63.319444444444443</v>
      </c>
      <c r="E66" s="134">
        <f>139660/2/1080</f>
        <v>64.657407407407405</v>
      </c>
      <c r="F66" s="134"/>
      <c r="G66" s="134"/>
      <c r="H66" s="134"/>
      <c r="I66" s="137"/>
      <c r="J66" s="146">
        <f>59800/2/864</f>
        <v>34.606481481481481</v>
      </c>
      <c r="K66" s="133">
        <f>59800/2/864</f>
        <v>34.606481481481481</v>
      </c>
      <c r="L66" s="134">
        <f>63080/2/864</f>
        <v>36.504629629629626</v>
      </c>
      <c r="M66" s="134"/>
      <c r="N66" s="134"/>
      <c r="O66" s="137"/>
      <c r="P66" s="146"/>
      <c r="Q66" s="134"/>
      <c r="R66" s="73"/>
      <c r="S66" s="134"/>
      <c r="T66" s="58"/>
      <c r="U66" s="133"/>
      <c r="V66" s="134"/>
      <c r="W66" s="134"/>
      <c r="X66" s="134"/>
      <c r="Y66" s="124"/>
      <c r="Z66" s="133"/>
      <c r="AA66" s="134"/>
      <c r="AB66" s="134"/>
      <c r="AC66" s="137"/>
    </row>
    <row r="67" spans="1:29" s="122" customFormat="1" ht="15.75" customHeight="1" x14ac:dyDescent="0.25">
      <c r="A67" s="278"/>
      <c r="B67" s="57">
        <v>37330</v>
      </c>
      <c r="C67" s="127" t="s">
        <v>43</v>
      </c>
      <c r="D67" s="146">
        <f>127940/2/1121</f>
        <v>57.065120428189118</v>
      </c>
      <c r="E67" s="134">
        <f>131130/2/1121</f>
        <v>58.487957181088312</v>
      </c>
      <c r="F67" s="134">
        <f>129210/2/1121</f>
        <v>57.631578947368418</v>
      </c>
      <c r="G67" s="134">
        <f>129640/2/1121</f>
        <v>57.823371989295275</v>
      </c>
      <c r="H67" s="134"/>
      <c r="I67" s="137"/>
      <c r="J67" s="133"/>
      <c r="K67" s="134"/>
      <c r="L67" s="134"/>
      <c r="M67" s="134"/>
      <c r="N67" s="134"/>
      <c r="O67" s="137"/>
      <c r="P67" s="146"/>
      <c r="Q67" s="134"/>
      <c r="R67" s="73"/>
      <c r="S67" s="134"/>
      <c r="T67" s="58"/>
      <c r="U67" s="133"/>
      <c r="V67" s="134"/>
      <c r="W67" s="134"/>
      <c r="X67" s="134"/>
      <c r="Y67" s="124"/>
      <c r="Z67" s="133"/>
      <c r="AA67" s="134"/>
      <c r="AB67" s="134"/>
      <c r="AC67" s="137"/>
    </row>
    <row r="68" spans="1:29" s="122" customFormat="1" ht="15.75" customHeight="1" x14ac:dyDescent="0.25">
      <c r="A68" s="278"/>
      <c r="B68" s="57">
        <v>37361</v>
      </c>
      <c r="C68" s="127" t="s">
        <v>109</v>
      </c>
      <c r="D68" s="146">
        <f>136770/2/1080</f>
        <v>63.319444444444443</v>
      </c>
      <c r="E68" s="134">
        <f>139660/2/1080</f>
        <v>64.657407407407405</v>
      </c>
      <c r="F68" s="134"/>
      <c r="G68" s="134"/>
      <c r="H68" s="134"/>
      <c r="I68" s="137"/>
      <c r="J68" s="133"/>
      <c r="K68" s="134"/>
      <c r="L68" s="134"/>
      <c r="M68" s="134"/>
      <c r="N68" s="134"/>
      <c r="O68" s="137"/>
      <c r="P68" s="146"/>
      <c r="Q68" s="134"/>
      <c r="R68" s="73"/>
      <c r="S68" s="134"/>
      <c r="T68" s="58"/>
      <c r="U68" s="133"/>
      <c r="V68" s="134"/>
      <c r="W68" s="134"/>
      <c r="X68" s="134"/>
      <c r="Y68" s="124"/>
      <c r="Z68" s="133"/>
      <c r="AA68" s="134"/>
      <c r="AB68" s="134"/>
      <c r="AC68" s="137"/>
    </row>
    <row r="69" spans="1:29" s="122" customFormat="1" ht="15.75" customHeight="1" x14ac:dyDescent="0.25">
      <c r="A69" s="278"/>
      <c r="B69" s="57">
        <v>38426</v>
      </c>
      <c r="C69" s="127" t="s">
        <v>44</v>
      </c>
      <c r="D69" s="146">
        <f>127940/2/1121</f>
        <v>57.065120428189118</v>
      </c>
      <c r="E69" s="134">
        <f>131130/2/1121</f>
        <v>58.487957181088312</v>
      </c>
      <c r="F69" s="134">
        <f>129210/2/1121</f>
        <v>57.631578947368418</v>
      </c>
      <c r="G69" s="134">
        <f>129640/2/1121</f>
        <v>57.823371989295275</v>
      </c>
      <c r="H69" s="134"/>
      <c r="I69" s="137"/>
      <c r="J69" s="133">
        <f>55870/2/896.8</f>
        <v>31.149643175735953</v>
      </c>
      <c r="K69" s="134"/>
      <c r="L69" s="134"/>
      <c r="N69" s="134"/>
      <c r="O69" s="137"/>
      <c r="P69" s="152">
        <f>69830/2/1121</f>
        <v>31.146297948260482</v>
      </c>
      <c r="Q69" s="142">
        <f>69830/2/1121</f>
        <v>31.146297948260482</v>
      </c>
      <c r="R69" s="142">
        <f>73670/2/1121</f>
        <v>32.859054415700271</v>
      </c>
      <c r="S69" s="134">
        <f>76610/2/1121</f>
        <v>34.170383586083851</v>
      </c>
      <c r="T69" s="58"/>
      <c r="V69" s="134"/>
      <c r="W69" s="134"/>
      <c r="X69" s="134"/>
      <c r="Y69" s="124"/>
      <c r="Z69" s="133"/>
      <c r="AA69" s="134"/>
      <c r="AB69" s="134"/>
      <c r="AC69" s="137"/>
    </row>
    <row r="70" spans="1:29" s="122" customFormat="1" x14ac:dyDescent="0.25">
      <c r="A70" s="278"/>
      <c r="B70" s="57">
        <v>38457</v>
      </c>
      <c r="C70" s="127" t="s">
        <v>45</v>
      </c>
      <c r="D70" s="146">
        <f>136770/2/1080</f>
        <v>63.319444444444443</v>
      </c>
      <c r="E70" s="134">
        <f>139660/2/1080</f>
        <v>64.657407407407405</v>
      </c>
      <c r="F70" s="134"/>
      <c r="G70" s="134"/>
      <c r="H70" s="134"/>
      <c r="I70" s="137"/>
      <c r="J70" s="146"/>
      <c r="K70" s="133"/>
      <c r="L70" s="134"/>
      <c r="M70" s="134"/>
      <c r="N70" s="134"/>
      <c r="O70" s="137"/>
      <c r="P70" s="146"/>
      <c r="Q70" s="134"/>
      <c r="R70" s="73"/>
      <c r="S70" s="134"/>
      <c r="T70" s="58"/>
      <c r="U70" s="133"/>
      <c r="V70" s="6"/>
      <c r="W70" s="133"/>
      <c r="X70" s="134"/>
      <c r="Y70" s="124"/>
      <c r="Z70" s="133"/>
      <c r="AA70" s="134"/>
      <c r="AB70" s="134"/>
      <c r="AC70" s="137"/>
    </row>
    <row r="71" spans="1:29" s="122" customFormat="1" x14ac:dyDescent="0.25">
      <c r="A71" s="278"/>
      <c r="B71" s="57">
        <v>37337</v>
      </c>
      <c r="C71" s="127" t="s">
        <v>132</v>
      </c>
      <c r="D71" s="152">
        <f>127940/2/1121</f>
        <v>57.065120428189118</v>
      </c>
      <c r="E71" s="134"/>
      <c r="F71" s="142"/>
      <c r="G71" s="142"/>
      <c r="H71" s="134"/>
      <c r="I71" s="137"/>
      <c r="J71" s="133"/>
      <c r="K71" s="134"/>
      <c r="L71" s="134"/>
      <c r="M71" s="134"/>
      <c r="N71" s="134"/>
      <c r="O71" s="137"/>
      <c r="P71" s="242"/>
      <c r="Q71" s="134"/>
      <c r="R71" s="73"/>
      <c r="S71" s="134"/>
      <c r="T71" s="58"/>
      <c r="U71" s="133"/>
      <c r="V71" s="134"/>
      <c r="W71" s="134"/>
      <c r="X71" s="134"/>
      <c r="Y71" s="125"/>
      <c r="Z71" s="159"/>
      <c r="AA71" s="138"/>
      <c r="AB71" s="59"/>
      <c r="AC71" s="139"/>
    </row>
    <row r="72" spans="1:29" s="122" customFormat="1" x14ac:dyDescent="0.25">
      <c r="A72" s="278"/>
      <c r="B72" s="57">
        <v>37368</v>
      </c>
      <c r="C72" s="127" t="s">
        <v>133</v>
      </c>
      <c r="D72" s="146">
        <f>136770/2/1080</f>
        <v>63.319444444444443</v>
      </c>
      <c r="E72" s="134"/>
      <c r="F72" s="134"/>
      <c r="G72" s="134"/>
      <c r="H72" s="134"/>
      <c r="I72" s="137"/>
      <c r="J72" s="133"/>
      <c r="K72" s="134"/>
      <c r="L72" s="134"/>
      <c r="M72" s="134"/>
      <c r="N72" s="134"/>
      <c r="O72" s="137"/>
      <c r="P72" s="146"/>
      <c r="Q72" s="134"/>
      <c r="R72" s="73"/>
      <c r="S72" s="134"/>
      <c r="T72" s="58"/>
      <c r="U72" s="133"/>
      <c r="V72" s="134"/>
      <c r="W72" s="134"/>
      <c r="X72" s="134"/>
      <c r="Y72" s="125"/>
      <c r="Z72" s="159"/>
      <c r="AA72" s="138"/>
      <c r="AB72" s="59"/>
      <c r="AC72" s="139"/>
    </row>
    <row r="73" spans="1:29" s="122" customFormat="1" x14ac:dyDescent="0.25">
      <c r="A73" s="278"/>
      <c r="B73" s="60">
        <v>38423</v>
      </c>
      <c r="C73" s="127" t="s">
        <v>112</v>
      </c>
      <c r="D73" s="146">
        <f>127940/2/1121</f>
        <v>57.065120428189118</v>
      </c>
      <c r="E73" s="134">
        <f>131130/2/1121</f>
        <v>58.487957181088312</v>
      </c>
      <c r="F73" s="134">
        <f>129210/2/1121</f>
        <v>57.631578947368418</v>
      </c>
      <c r="G73" s="134">
        <f>129640/2/1121</f>
        <v>57.823371989295275</v>
      </c>
      <c r="H73" s="134"/>
      <c r="I73" s="137"/>
      <c r="J73" s="133"/>
      <c r="K73" s="134"/>
      <c r="L73" s="134"/>
      <c r="M73" s="134"/>
      <c r="N73" s="134"/>
      <c r="O73" s="137"/>
      <c r="P73" s="146"/>
      <c r="Q73" s="134"/>
      <c r="R73" s="73"/>
      <c r="S73" s="134"/>
      <c r="T73" s="58"/>
      <c r="U73" s="133"/>
      <c r="V73" s="134"/>
      <c r="W73" s="134"/>
      <c r="X73" s="134"/>
      <c r="Y73" s="125"/>
      <c r="Z73" s="159"/>
      <c r="AA73" s="138"/>
      <c r="AB73" s="59"/>
      <c r="AC73" s="139"/>
    </row>
    <row r="74" spans="1:29" s="122" customFormat="1" x14ac:dyDescent="0.25">
      <c r="A74" s="278"/>
      <c r="B74" s="52">
        <v>37026</v>
      </c>
      <c r="C74" s="127" t="s">
        <v>113</v>
      </c>
      <c r="D74" s="146">
        <f>127940/2/1109.8</f>
        <v>57.641016399351237</v>
      </c>
      <c r="E74" s="134">
        <f>131130/2/1109.8</f>
        <v>59.078212290502798</v>
      </c>
      <c r="F74" s="134">
        <f>129210/2/1109.8</f>
        <v>58.213191566047939</v>
      </c>
      <c r="G74" s="134">
        <f>129640/2/1109.8</f>
        <v>58.40692016579564</v>
      </c>
      <c r="H74" s="134">
        <f>134430/2/1109.8</f>
        <v>60.564966660659579</v>
      </c>
      <c r="I74" s="134">
        <f>138460/2/1109.8</f>
        <v>62.380609118760141</v>
      </c>
      <c r="J74" s="146"/>
      <c r="K74" s="134"/>
      <c r="L74" s="134"/>
      <c r="M74" s="134"/>
      <c r="N74" s="134"/>
      <c r="O74" s="137"/>
      <c r="P74" s="146"/>
      <c r="Q74" s="134"/>
      <c r="R74" s="73"/>
      <c r="S74" s="134"/>
      <c r="T74" s="58"/>
      <c r="U74" s="133"/>
      <c r="V74" s="134"/>
      <c r="W74" s="134"/>
      <c r="X74" s="134"/>
      <c r="Y74" s="124"/>
      <c r="Z74" s="133"/>
      <c r="AA74" s="134"/>
      <c r="AB74" s="77"/>
      <c r="AC74" s="137"/>
    </row>
    <row r="75" spans="1:29" s="122" customFormat="1" x14ac:dyDescent="0.25">
      <c r="A75" s="278"/>
      <c r="B75" s="55">
        <v>38058</v>
      </c>
      <c r="C75" s="149" t="s">
        <v>74</v>
      </c>
      <c r="D75" s="146">
        <f>127940/2/1121</f>
        <v>57.065120428189118</v>
      </c>
      <c r="E75" s="134">
        <f>131130/2/1121</f>
        <v>58.487957181088312</v>
      </c>
      <c r="F75" s="134">
        <f>129210/2/1121</f>
        <v>57.631578947368418</v>
      </c>
      <c r="G75" s="134">
        <f>129640/2/1121</f>
        <v>57.823371989295275</v>
      </c>
      <c r="H75" s="10"/>
      <c r="I75" s="11"/>
      <c r="J75" s="12"/>
      <c r="K75" s="10"/>
      <c r="L75" s="10"/>
      <c r="M75" s="10"/>
      <c r="N75" s="10"/>
      <c r="O75" s="11"/>
      <c r="P75" s="12"/>
      <c r="Q75" s="10"/>
      <c r="R75" s="10"/>
      <c r="S75" s="10"/>
      <c r="T75" s="10"/>
      <c r="U75" s="45"/>
      <c r="V75" s="157"/>
      <c r="W75" s="157"/>
      <c r="X75" s="157"/>
      <c r="Y75" s="46"/>
      <c r="Z75" s="157"/>
      <c r="AA75" s="157"/>
      <c r="AB75" s="157"/>
      <c r="AC75" s="46"/>
    </row>
    <row r="76" spans="1:29" s="122" customFormat="1" x14ac:dyDescent="0.25">
      <c r="A76" s="278"/>
      <c r="B76" s="55">
        <v>38089</v>
      </c>
      <c r="C76" s="149" t="s">
        <v>97</v>
      </c>
      <c r="D76" s="146">
        <f>136770/2/1080</f>
        <v>63.319444444444443</v>
      </c>
      <c r="E76" s="134">
        <f>139660/2/1080</f>
        <v>64.657407407407405</v>
      </c>
      <c r="F76" s="10"/>
      <c r="G76" s="10"/>
      <c r="H76" s="10"/>
      <c r="I76" s="11"/>
      <c r="J76" s="12"/>
      <c r="K76" s="10"/>
      <c r="L76" s="10"/>
      <c r="M76" s="10"/>
      <c r="N76" s="10"/>
      <c r="O76" s="11"/>
      <c r="P76" s="12"/>
      <c r="Q76" s="10"/>
      <c r="R76" s="10"/>
      <c r="S76" s="10"/>
      <c r="T76" s="10"/>
      <c r="U76" s="45"/>
      <c r="V76" s="157"/>
      <c r="W76" s="157"/>
      <c r="X76" s="157"/>
      <c r="Y76" s="46"/>
      <c r="Z76" s="157"/>
      <c r="AA76" s="157"/>
      <c r="AB76" s="157"/>
      <c r="AC76" s="46"/>
    </row>
    <row r="77" spans="1:29" s="122" customFormat="1" x14ac:dyDescent="0.25">
      <c r="A77" s="278"/>
      <c r="B77" s="51">
        <v>36972</v>
      </c>
      <c r="C77" s="124" t="s">
        <v>75</v>
      </c>
      <c r="D77" s="146">
        <f>127940/2/1121</f>
        <v>57.065120428189118</v>
      </c>
      <c r="E77" s="134">
        <f>131130/2/1121</f>
        <v>58.487957181088312</v>
      </c>
      <c r="F77" s="134">
        <f>129210/2/1121</f>
        <v>57.631578947368418</v>
      </c>
      <c r="G77" s="134">
        <f>129640/2/1121</f>
        <v>57.823371989295275</v>
      </c>
      <c r="H77" s="10"/>
      <c r="I77" s="11"/>
      <c r="J77" s="12"/>
      <c r="K77" s="10"/>
      <c r="L77" s="10"/>
      <c r="M77" s="10"/>
      <c r="N77" s="10"/>
      <c r="O77" s="11"/>
      <c r="P77" s="12"/>
      <c r="Q77" s="10"/>
      <c r="R77" s="10"/>
      <c r="S77" s="10"/>
      <c r="T77" s="10"/>
      <c r="U77" s="45"/>
      <c r="V77" s="157"/>
      <c r="W77" s="157"/>
      <c r="X77" s="157"/>
      <c r="Y77" s="46"/>
      <c r="Z77" s="157"/>
      <c r="AA77" s="157"/>
      <c r="AB77" s="157"/>
      <c r="AC77" s="46"/>
    </row>
    <row r="78" spans="1:29" s="122" customFormat="1" x14ac:dyDescent="0.25">
      <c r="A78" s="278"/>
      <c r="B78" s="52">
        <v>37003</v>
      </c>
      <c r="C78" s="124" t="s">
        <v>98</v>
      </c>
      <c r="D78" s="146">
        <f>136770/2/1080</f>
        <v>63.319444444444443</v>
      </c>
      <c r="E78" s="134">
        <f>139660/2/1080</f>
        <v>64.657407407407405</v>
      </c>
      <c r="F78" s="14"/>
      <c r="G78" s="14"/>
      <c r="H78" s="10"/>
      <c r="I78" s="11"/>
      <c r="J78" s="12"/>
      <c r="K78" s="10"/>
      <c r="L78" s="10"/>
      <c r="M78" s="10"/>
      <c r="N78" s="10"/>
      <c r="O78" s="11"/>
      <c r="P78" s="12"/>
      <c r="Q78" s="10"/>
      <c r="R78" s="10"/>
      <c r="S78" s="10"/>
      <c r="T78" s="10"/>
      <c r="U78" s="45"/>
      <c r="V78" s="157"/>
      <c r="W78" s="157"/>
      <c r="X78" s="157"/>
      <c r="Y78" s="46"/>
      <c r="Z78" s="157"/>
      <c r="AA78" s="157"/>
      <c r="AB78" s="157"/>
      <c r="AC78" s="46"/>
    </row>
    <row r="79" spans="1:29" s="122" customFormat="1" x14ac:dyDescent="0.25">
      <c r="A79" s="278"/>
      <c r="B79" s="57">
        <v>37034</v>
      </c>
      <c r="C79" s="127" t="s">
        <v>55</v>
      </c>
      <c r="D79" s="133">
        <f>127940/2/1112.8</f>
        <v>57.485621854780739</v>
      </c>
      <c r="E79" s="134">
        <f>131130/2/1112.8</f>
        <v>58.918943206326389</v>
      </c>
      <c r="F79" s="134">
        <f>129210/2/1112.8</f>
        <v>58.056254493170385</v>
      </c>
      <c r="G79" s="134">
        <f>129640/2/1112.8</f>
        <v>58.24946081955428</v>
      </c>
      <c r="H79" s="134">
        <f>134430/2/1112.8</f>
        <v>60.401689432063264</v>
      </c>
      <c r="I79" s="137"/>
      <c r="J79" s="146">
        <f>55870/2/927.3</f>
        <v>30.125094359969808</v>
      </c>
      <c r="K79" s="133">
        <f>55870/2/927.3</f>
        <v>30.125094359969808</v>
      </c>
      <c r="L79" s="133">
        <f>58940/2/927.3</f>
        <v>31.780437830259896</v>
      </c>
      <c r="M79" s="134">
        <f>61280/2/927.3</f>
        <v>33.042165426507069</v>
      </c>
      <c r="N79" s="134">
        <f>61280/2/927.3</f>
        <v>33.042165426507069</v>
      </c>
      <c r="O79" s="137">
        <f>63120/2/927.3</f>
        <v>34.034293109026208</v>
      </c>
      <c r="P79" s="133"/>
      <c r="Q79" s="134"/>
      <c r="R79" s="134"/>
      <c r="S79" s="134"/>
      <c r="T79" s="133"/>
      <c r="U79" s="45"/>
      <c r="V79" s="157"/>
      <c r="W79" s="157"/>
      <c r="X79" s="157"/>
      <c r="Y79" s="46"/>
      <c r="Z79" s="157"/>
      <c r="AA79" s="157"/>
      <c r="AB79" s="157"/>
      <c r="AC79" s="46"/>
    </row>
    <row r="80" spans="1:29" s="122" customFormat="1" x14ac:dyDescent="0.25">
      <c r="A80" s="278"/>
      <c r="B80" s="57">
        <v>36973</v>
      </c>
      <c r="C80" s="127" t="s">
        <v>56</v>
      </c>
      <c r="D80" s="242">
        <f>127940/2/1121</f>
        <v>57.065120428189118</v>
      </c>
      <c r="E80" s="134">
        <f>131130/2/1121</f>
        <v>58.487957181088312</v>
      </c>
      <c r="F80" s="134"/>
      <c r="G80" s="134"/>
      <c r="H80" s="134"/>
      <c r="I80" s="137"/>
      <c r="J80" s="152">
        <f>55870/2/896.8</f>
        <v>31.149643175735953</v>
      </c>
      <c r="K80" s="24"/>
      <c r="L80" s="134"/>
      <c r="M80" s="134"/>
      <c r="N80" s="134">
        <f>61280/2/896.8</f>
        <v>34.165923282783233</v>
      </c>
      <c r="O80" s="137"/>
      <c r="P80" s="133">
        <f>69830/2/1121</f>
        <v>31.146297948260482</v>
      </c>
      <c r="Q80" s="133">
        <f>69830/2/1121</f>
        <v>31.146297948260482</v>
      </c>
      <c r="R80" s="133">
        <f>73670/2/1121</f>
        <v>32.859054415700271</v>
      </c>
      <c r="S80" s="133">
        <f>76610/2/1121</f>
        <v>34.170383586083851</v>
      </c>
      <c r="T80" s="133"/>
      <c r="U80" s="45"/>
      <c r="V80" s="157"/>
      <c r="W80" s="157"/>
      <c r="X80" s="157"/>
      <c r="Y80" s="46"/>
      <c r="Z80" s="157"/>
      <c r="AA80" s="157"/>
      <c r="AB80" s="157"/>
      <c r="AC80" s="46"/>
    </row>
    <row r="81" spans="1:29" s="122" customFormat="1" x14ac:dyDescent="0.25">
      <c r="A81" s="278"/>
      <c r="B81" s="57">
        <v>37004</v>
      </c>
      <c r="C81" s="127" t="s">
        <v>57</v>
      </c>
      <c r="D81" s="242"/>
      <c r="E81" s="134"/>
      <c r="F81" s="134"/>
      <c r="G81" s="62"/>
      <c r="H81" s="134"/>
      <c r="I81" s="137"/>
      <c r="J81" s="146">
        <f>59800/2/864</f>
        <v>34.606481481481481</v>
      </c>
      <c r="K81" s="133">
        <f>59800/2/864</f>
        <v>34.606481481481481</v>
      </c>
      <c r="L81" s="134">
        <f>63080/2/864</f>
        <v>36.504629629629626</v>
      </c>
      <c r="M81" s="134"/>
      <c r="N81" s="134"/>
      <c r="O81" s="137"/>
      <c r="P81" s="133"/>
      <c r="Q81" s="134"/>
      <c r="R81" s="134"/>
      <c r="S81" s="134"/>
      <c r="T81" s="133"/>
      <c r="U81" s="45"/>
      <c r="V81" s="157"/>
      <c r="W81" s="157"/>
      <c r="X81" s="157"/>
      <c r="Y81" s="46"/>
      <c r="Z81" s="157"/>
      <c r="AA81" s="157"/>
      <c r="AB81" s="157"/>
      <c r="AC81" s="46"/>
    </row>
    <row r="82" spans="1:29" s="122" customFormat="1" x14ac:dyDescent="0.25">
      <c r="A82" s="278"/>
      <c r="B82" s="57">
        <v>37703</v>
      </c>
      <c r="C82" s="127" t="s">
        <v>58</v>
      </c>
      <c r="D82" s="242">
        <f>127940/2/1121</f>
        <v>57.065120428189118</v>
      </c>
      <c r="E82" s="134">
        <f>131130/2/1121</f>
        <v>58.487957181088312</v>
      </c>
      <c r="F82" s="134"/>
      <c r="G82" s="134"/>
      <c r="H82" s="134"/>
      <c r="I82" s="137"/>
      <c r="J82" s="152">
        <f>55870/2/896.8</f>
        <v>31.149643175735953</v>
      </c>
      <c r="K82" s="24"/>
      <c r="L82" s="134"/>
      <c r="M82" s="134"/>
      <c r="N82" s="134">
        <f>61280/2/896.8</f>
        <v>34.165923282783233</v>
      </c>
      <c r="O82" s="137"/>
      <c r="P82" s="133">
        <f>69830/2/1121</f>
        <v>31.146297948260482</v>
      </c>
      <c r="Q82" s="133">
        <f>69830/2/1121</f>
        <v>31.146297948260482</v>
      </c>
      <c r="R82" s="133">
        <f>73670/2/1121</f>
        <v>32.859054415700271</v>
      </c>
      <c r="S82" s="134"/>
      <c r="T82" s="133"/>
      <c r="U82" s="44"/>
      <c r="V82" s="131"/>
      <c r="W82" s="131"/>
      <c r="X82" s="131"/>
      <c r="Y82" s="47"/>
      <c r="Z82" s="131"/>
      <c r="AA82" s="131"/>
      <c r="AB82" s="131"/>
      <c r="AC82" s="47"/>
    </row>
    <row r="83" spans="1:29" s="122" customFormat="1" ht="15.75" thickBot="1" x14ac:dyDescent="0.3">
      <c r="A83" s="278"/>
      <c r="B83" s="160">
        <v>37734</v>
      </c>
      <c r="C83" s="63" t="s">
        <v>59</v>
      </c>
      <c r="D83" s="148"/>
      <c r="E83" s="140"/>
      <c r="F83" s="140"/>
      <c r="G83" s="140"/>
      <c r="H83" s="140"/>
      <c r="I83" s="141"/>
      <c r="J83" s="146">
        <f>59800/2/864</f>
        <v>34.606481481481481</v>
      </c>
      <c r="K83" s="133">
        <f>59800/2/864</f>
        <v>34.606481481481481</v>
      </c>
      <c r="L83" s="134">
        <f>63080/2/864</f>
        <v>36.504629629629626</v>
      </c>
      <c r="M83" s="134"/>
      <c r="N83" s="134"/>
      <c r="O83" s="137"/>
      <c r="P83" s="148"/>
      <c r="Q83" s="140"/>
      <c r="R83" s="140"/>
      <c r="S83" s="140"/>
      <c r="T83" s="116"/>
      <c r="U83" s="78"/>
      <c r="V83" s="158"/>
      <c r="W83" s="158"/>
      <c r="X83" s="158"/>
      <c r="Y83" s="49"/>
      <c r="Z83" s="158"/>
      <c r="AA83" s="158"/>
      <c r="AB83" s="158"/>
      <c r="AC83" s="49"/>
    </row>
    <row r="84" spans="1:29" s="122" customFormat="1" ht="15" customHeight="1" x14ac:dyDescent="0.25">
      <c r="A84" s="285" t="s">
        <v>154</v>
      </c>
      <c r="B84" s="61">
        <v>37390</v>
      </c>
      <c r="C84" s="150" t="s">
        <v>51</v>
      </c>
      <c r="D84" s="340">
        <f>162170/2/1109.8</f>
        <v>73.062714002522981</v>
      </c>
      <c r="E84" s="340">
        <f>162170/2/1109.8</f>
        <v>73.062714002522981</v>
      </c>
      <c r="F84" s="142">
        <f>171080/2/1109.8</f>
        <v>77.076950801946296</v>
      </c>
      <c r="G84" s="142">
        <f>177920/2/1109.8</f>
        <v>80.15858713281672</v>
      </c>
      <c r="H84" s="142">
        <f>184500/2/1109.8</f>
        <v>83.12308524058389</v>
      </c>
      <c r="I84" s="143">
        <f>190040/2/1109.8</f>
        <v>85.619030455938017</v>
      </c>
      <c r="J84" s="144"/>
      <c r="K84" s="135"/>
      <c r="L84" s="135"/>
      <c r="M84" s="135"/>
      <c r="N84" s="75"/>
      <c r="O84" s="136"/>
      <c r="P84" s="24"/>
      <c r="Q84" s="142"/>
      <c r="R84" s="142"/>
      <c r="S84" s="142"/>
      <c r="T84" s="24"/>
      <c r="U84" s="152"/>
      <c r="V84" s="142"/>
      <c r="W84" s="142"/>
      <c r="X84" s="142"/>
      <c r="Y84" s="149"/>
      <c r="Z84" s="24"/>
      <c r="AA84" s="142"/>
      <c r="AB84" s="142"/>
      <c r="AC84" s="143"/>
    </row>
    <row r="85" spans="1:29" s="122" customFormat="1" x14ac:dyDescent="0.25">
      <c r="A85" s="286"/>
      <c r="B85" s="57">
        <v>37328</v>
      </c>
      <c r="C85" s="127" t="s">
        <v>52</v>
      </c>
      <c r="D85" s="152">
        <f>127940/2/1121</f>
        <v>57.065120428189118</v>
      </c>
      <c r="E85" s="142">
        <f>131130/2/1121</f>
        <v>58.487957181088312</v>
      </c>
      <c r="F85" s="142">
        <f>129210/2/1121</f>
        <v>57.631578947368418</v>
      </c>
      <c r="G85" s="142">
        <f>129640/2/1121</f>
        <v>57.823371989295275</v>
      </c>
      <c r="H85" s="134"/>
      <c r="I85" s="137"/>
      <c r="J85" s="152">
        <f>55870/2/896.8</f>
        <v>31.149643175735953</v>
      </c>
      <c r="K85" s="24">
        <f>55870/2/896.8</f>
        <v>31.149643175735953</v>
      </c>
      <c r="L85" s="134">
        <f>58940/2/896.8</f>
        <v>32.86128456735058</v>
      </c>
      <c r="M85" s="134">
        <f>61280/2/896.8</f>
        <v>34.165923282783233</v>
      </c>
      <c r="N85" s="134">
        <f>61280/2/896.8</f>
        <v>34.165923282783233</v>
      </c>
      <c r="O85" s="137"/>
      <c r="P85" s="133">
        <f>69830/2/1121</f>
        <v>31.146297948260482</v>
      </c>
      <c r="Q85" s="134"/>
      <c r="R85" s="134"/>
      <c r="S85" s="134"/>
      <c r="T85" s="133"/>
      <c r="U85" s="146"/>
      <c r="V85" s="134"/>
      <c r="W85" s="134"/>
      <c r="X85" s="134"/>
      <c r="Y85" s="124"/>
      <c r="Z85" s="133"/>
      <c r="AA85" s="134"/>
      <c r="AB85" s="134"/>
      <c r="AC85" s="137"/>
    </row>
    <row r="86" spans="1:29" s="122" customFormat="1" x14ac:dyDescent="0.25">
      <c r="A86" s="286"/>
      <c r="B86" s="57">
        <v>37359</v>
      </c>
      <c r="C86" s="127" t="s">
        <v>53</v>
      </c>
      <c r="D86" s="341">
        <f>136770/2/1080</f>
        <v>63.319444444444443</v>
      </c>
      <c r="E86" s="342">
        <f>139660/2/1080</f>
        <v>64.657407407407405</v>
      </c>
      <c r="F86" s="134"/>
      <c r="G86" s="134"/>
      <c r="H86" s="134"/>
      <c r="I86" s="137"/>
      <c r="J86" s="146">
        <f>59800/2/864</f>
        <v>34.606481481481481</v>
      </c>
      <c r="K86" s="133">
        <f>59800/2/864</f>
        <v>34.606481481481481</v>
      </c>
      <c r="L86" s="133">
        <f>63080/2/864</f>
        <v>36.504629629629626</v>
      </c>
      <c r="M86" s="134"/>
      <c r="N86" s="134"/>
      <c r="O86" s="137"/>
      <c r="P86" s="133"/>
      <c r="Q86" s="134"/>
      <c r="R86" s="134"/>
      <c r="S86" s="134"/>
      <c r="T86" s="133"/>
      <c r="U86" s="146"/>
      <c r="V86" s="134"/>
      <c r="W86" s="134"/>
      <c r="X86" s="134"/>
      <c r="Y86" s="124"/>
      <c r="Z86" s="133"/>
      <c r="AA86" s="134"/>
      <c r="AB86" s="134"/>
      <c r="AC86" s="137"/>
    </row>
    <row r="87" spans="1:29" s="122" customFormat="1" x14ac:dyDescent="0.25">
      <c r="A87" s="286"/>
      <c r="B87" s="57">
        <v>36963</v>
      </c>
      <c r="C87" s="127" t="s">
        <v>54</v>
      </c>
      <c r="D87" s="152">
        <f>127940/2/1121</f>
        <v>57.065120428189118</v>
      </c>
      <c r="E87" s="142">
        <f>131130/2/1121</f>
        <v>58.487957181088312</v>
      </c>
      <c r="F87" s="142">
        <f>129210/2/1121</f>
        <v>57.631578947368418</v>
      </c>
      <c r="G87" s="142">
        <f>129640/2/1121</f>
        <v>57.823371989295275</v>
      </c>
      <c r="H87" s="134"/>
      <c r="I87" s="137"/>
      <c r="J87" s="152">
        <f>55870/2/896.8</f>
        <v>31.149643175735953</v>
      </c>
      <c r="K87" s="24">
        <f>55870/2/896.8</f>
        <v>31.149643175735953</v>
      </c>
      <c r="L87" s="134">
        <f>58940/2/896.8</f>
        <v>32.86128456735058</v>
      </c>
      <c r="M87" s="134">
        <f>61280/2/896.8</f>
        <v>34.165923282783233</v>
      </c>
      <c r="N87" s="134">
        <f>61280/2/896.8</f>
        <v>34.165923282783233</v>
      </c>
      <c r="O87" s="137"/>
      <c r="P87" s="133">
        <f>69830/2/1121</f>
        <v>31.146297948260482</v>
      </c>
      <c r="Q87" s="134"/>
      <c r="R87" s="134"/>
      <c r="S87" s="134"/>
      <c r="T87" s="133"/>
      <c r="U87" s="146"/>
      <c r="V87" s="134"/>
      <c r="W87" s="134"/>
      <c r="X87" s="134"/>
      <c r="Y87" s="124"/>
      <c r="Z87" s="133"/>
      <c r="AA87" s="134"/>
      <c r="AB87" s="134"/>
      <c r="AC87" s="137"/>
    </row>
    <row r="88" spans="1:29" s="122" customFormat="1" ht="15.75" thickBot="1" x14ac:dyDescent="0.3">
      <c r="A88" s="286"/>
      <c r="B88" s="160">
        <v>36994</v>
      </c>
      <c r="C88" s="63" t="s">
        <v>114</v>
      </c>
      <c r="D88" s="343">
        <f>136770/2/1080</f>
        <v>63.319444444444443</v>
      </c>
      <c r="E88" s="344">
        <f>139660/2/1080</f>
        <v>64.657407407407405</v>
      </c>
      <c r="F88" s="140"/>
      <c r="G88" s="140"/>
      <c r="H88" s="140"/>
      <c r="I88" s="141"/>
      <c r="J88" s="148">
        <f>59800/2/864</f>
        <v>34.606481481481481</v>
      </c>
      <c r="K88" s="23">
        <f>59800/2/864</f>
        <v>34.606481481481481</v>
      </c>
      <c r="L88" s="23">
        <f>63080/2/864</f>
        <v>36.504629629629626</v>
      </c>
      <c r="M88" s="140"/>
      <c r="N88" s="140"/>
      <c r="O88" s="141"/>
      <c r="P88" s="23"/>
      <c r="Q88" s="140"/>
      <c r="R88" s="140"/>
      <c r="S88" s="140"/>
      <c r="T88" s="23"/>
      <c r="U88" s="148"/>
      <c r="V88" s="140"/>
      <c r="W88" s="140"/>
      <c r="X88" s="140"/>
      <c r="Y88" s="126"/>
      <c r="Z88" s="159"/>
      <c r="AA88" s="138"/>
      <c r="AB88" s="138"/>
      <c r="AC88" s="139"/>
    </row>
    <row r="89" spans="1:29" s="122" customFormat="1" ht="15" customHeight="1" x14ac:dyDescent="0.25">
      <c r="A89" s="279" t="s">
        <v>164</v>
      </c>
      <c r="B89" s="194" t="s">
        <v>81</v>
      </c>
      <c r="C89" s="310" t="s">
        <v>85</v>
      </c>
      <c r="D89" s="311">
        <f>113120/2/1121</f>
        <v>50.454950936663693</v>
      </c>
      <c r="E89" s="7">
        <f>113120/2/1121</f>
        <v>50.454950936663693</v>
      </c>
      <c r="F89" s="7">
        <f>110950/2/1121</f>
        <v>49.487065120428191</v>
      </c>
      <c r="G89" s="7">
        <f>111080/2/1121</f>
        <v>49.545049063336307</v>
      </c>
      <c r="H89" s="26"/>
      <c r="I89" s="190"/>
      <c r="J89" s="199"/>
      <c r="K89" s="26"/>
      <c r="L89" s="26"/>
      <c r="M89" s="26"/>
      <c r="N89" s="26">
        <f>53780/2/896.8</f>
        <v>29.984388938447815</v>
      </c>
      <c r="O89" s="27"/>
      <c r="P89" s="185"/>
      <c r="Q89" s="34"/>
      <c r="R89" s="34"/>
      <c r="S89" s="34"/>
      <c r="T89" s="35"/>
      <c r="U89" s="312">
        <f>49030/2/896.8</f>
        <v>27.336083853702053</v>
      </c>
      <c r="V89" s="311">
        <f>49030/2/896.8</f>
        <v>27.336083853702053</v>
      </c>
      <c r="W89" s="135">
        <f>51720/2/896.8</f>
        <v>28.835860838537023</v>
      </c>
      <c r="X89" s="135">
        <f>53780/2/896.8</f>
        <v>29.984388938447815</v>
      </c>
      <c r="Y89" s="198"/>
      <c r="Z89" s="313">
        <f>61280/2/1121</f>
        <v>27.332738626226583</v>
      </c>
      <c r="AA89" s="153">
        <f>61280/2/1121</f>
        <v>27.332738626226583</v>
      </c>
      <c r="AB89" s="153">
        <f>64650/2/1121</f>
        <v>28.83586083853702</v>
      </c>
      <c r="AC89" s="106">
        <f>67230/2/1121</f>
        <v>29.986619090098127</v>
      </c>
    </row>
    <row r="90" spans="1:29" s="122" customFormat="1" x14ac:dyDescent="0.25">
      <c r="A90" s="280"/>
      <c r="B90" s="151" t="s">
        <v>81</v>
      </c>
      <c r="C90" s="314" t="s">
        <v>144</v>
      </c>
      <c r="D90" s="13"/>
      <c r="E90" s="14"/>
      <c r="F90" s="28"/>
      <c r="G90" s="14">
        <f>111080/2/1121</f>
        <v>49.545049063336307</v>
      </c>
      <c r="H90" s="28"/>
      <c r="I90" s="72"/>
      <c r="J90" s="30"/>
      <c r="K90" s="28"/>
      <c r="L90" s="28"/>
      <c r="M90" s="28"/>
      <c r="N90" s="28">
        <f>53780/2/896.8</f>
        <v>29.984388938447815</v>
      </c>
      <c r="O90" s="29"/>
      <c r="P90" s="30"/>
      <c r="Q90" s="28"/>
      <c r="R90" s="28"/>
      <c r="S90" s="28"/>
      <c r="T90" s="29"/>
      <c r="U90" s="146"/>
      <c r="V90" s="134"/>
      <c r="W90" s="134"/>
      <c r="X90" s="134"/>
      <c r="Y90" s="114"/>
      <c r="Z90" s="44"/>
      <c r="AA90" s="131"/>
      <c r="AB90" s="131"/>
      <c r="AC90" s="47"/>
    </row>
    <row r="91" spans="1:29" s="122" customFormat="1" x14ac:dyDescent="0.25">
      <c r="A91" s="280"/>
      <c r="B91" s="52" t="s">
        <v>30</v>
      </c>
      <c r="C91" s="124" t="s">
        <v>167</v>
      </c>
      <c r="D91" s="13">
        <f>113120/2/1121</f>
        <v>50.454950936663693</v>
      </c>
      <c r="E91" s="14">
        <f>113120/2/1121</f>
        <v>50.454950936663693</v>
      </c>
      <c r="F91" s="14">
        <f>110950/2/1121</f>
        <v>49.487065120428191</v>
      </c>
      <c r="G91" s="14">
        <f>111080/2/1121</f>
        <v>49.545049063336307</v>
      </c>
      <c r="H91" s="14"/>
      <c r="I91" s="15"/>
      <c r="J91" s="43"/>
      <c r="K91" s="28"/>
      <c r="L91" s="14"/>
      <c r="M91" s="28"/>
      <c r="N91" s="28">
        <f>53780/2/896.8</f>
        <v>29.984388938447815</v>
      </c>
      <c r="O91" s="15"/>
      <c r="P91" s="132"/>
      <c r="Q91" s="13"/>
      <c r="R91" s="14"/>
      <c r="S91" s="41"/>
      <c r="T91" s="15"/>
      <c r="U91" s="132">
        <f>49030/2/896.8</f>
        <v>27.336083853702053</v>
      </c>
      <c r="V91" s="14">
        <f>49030/2/896.8</f>
        <v>27.336083853702053</v>
      </c>
      <c r="W91" s="14">
        <f>51720/2/896.8</f>
        <v>28.835860838537023</v>
      </c>
      <c r="X91" s="14">
        <f>53780/2/896.8</f>
        <v>29.984388938447815</v>
      </c>
      <c r="Y91" s="15"/>
      <c r="Z91" s="132">
        <f>61280/2/1121</f>
        <v>27.332738626226583</v>
      </c>
      <c r="AA91" s="13">
        <f>61280/2/1121</f>
        <v>27.332738626226583</v>
      </c>
      <c r="AB91" s="14"/>
      <c r="AC91" s="15"/>
    </row>
    <row r="92" spans="1:29" s="122" customFormat="1" x14ac:dyDescent="0.25">
      <c r="A92" s="280"/>
      <c r="B92" s="52" t="s">
        <v>146</v>
      </c>
      <c r="C92" s="124" t="s">
        <v>147</v>
      </c>
      <c r="D92" s="19"/>
      <c r="E92" s="14"/>
      <c r="F92" s="14"/>
      <c r="G92" s="14"/>
      <c r="H92" s="14"/>
      <c r="I92" s="42"/>
      <c r="J92" s="132"/>
      <c r="K92" s="14"/>
      <c r="L92" s="14"/>
      <c r="M92" s="14"/>
      <c r="N92" s="14"/>
      <c r="O92" s="15"/>
      <c r="P92" s="132"/>
      <c r="Q92" s="28"/>
      <c r="R92" s="28"/>
      <c r="S92" s="28"/>
      <c r="T92" s="15"/>
      <c r="U92" s="315">
        <f>49030/2/896.8</f>
        <v>27.336083853702053</v>
      </c>
      <c r="V92" s="14">
        <f>49030/2/896.8</f>
        <v>27.336083853702053</v>
      </c>
      <c r="W92" s="14">
        <f>51720/2/896.8</f>
        <v>28.835860838537023</v>
      </c>
      <c r="X92" s="14">
        <f>53780/2/896.8</f>
        <v>29.984388938447815</v>
      </c>
      <c r="Y92" s="21"/>
      <c r="Z92" s="44">
        <f>61280/2/1121</f>
        <v>27.332738626226583</v>
      </c>
      <c r="AA92" s="131"/>
      <c r="AB92" s="131"/>
      <c r="AC92" s="47"/>
    </row>
    <row r="93" spans="1:29" s="122" customFormat="1" x14ac:dyDescent="0.25">
      <c r="A93" s="280"/>
      <c r="B93" s="52" t="s">
        <v>88</v>
      </c>
      <c r="C93" s="150" t="s">
        <v>148</v>
      </c>
      <c r="D93" s="69"/>
      <c r="E93" s="69"/>
      <c r="F93" s="69"/>
      <c r="G93" s="28"/>
      <c r="H93" s="28"/>
      <c r="I93" s="29"/>
      <c r="J93" s="36"/>
      <c r="K93" s="28"/>
      <c r="L93" s="28"/>
      <c r="M93" s="28"/>
      <c r="N93" s="28"/>
      <c r="O93" s="29"/>
      <c r="P93" s="30"/>
      <c r="Q93" s="28"/>
      <c r="R93" s="28"/>
      <c r="S93" s="70"/>
      <c r="T93" s="29"/>
      <c r="U93" s="242"/>
      <c r="V93" s="14"/>
      <c r="W93" s="14">
        <f>51720/2/896.8</f>
        <v>28.835860838537023</v>
      </c>
      <c r="X93" s="134"/>
      <c r="Y93" s="124"/>
      <c r="Z93" s="146"/>
      <c r="AA93" s="134"/>
      <c r="AB93" s="134"/>
      <c r="AC93" s="137"/>
    </row>
    <row r="94" spans="1:29" s="122" customFormat="1" x14ac:dyDescent="0.25">
      <c r="A94" s="280"/>
      <c r="B94" s="52" t="s">
        <v>33</v>
      </c>
      <c r="C94" s="124" t="s">
        <v>73</v>
      </c>
      <c r="D94" s="13"/>
      <c r="E94" s="14"/>
      <c r="F94" s="14">
        <f>110950/2/1121</f>
        <v>49.487065120428191</v>
      </c>
      <c r="G94" s="14">
        <f>111080/2/1121</f>
        <v>49.545049063336307</v>
      </c>
      <c r="H94" s="14"/>
      <c r="I94" s="15"/>
      <c r="J94" s="43"/>
      <c r="K94" s="14"/>
      <c r="L94" s="14"/>
      <c r="M94" s="28"/>
      <c r="N94" s="28">
        <f>53780/2/896.8</f>
        <v>29.984388938447815</v>
      </c>
      <c r="O94" s="15"/>
      <c r="P94" s="132"/>
      <c r="Q94" s="14"/>
      <c r="R94" s="14"/>
      <c r="S94" s="41"/>
      <c r="T94" s="15"/>
      <c r="U94" s="43"/>
      <c r="V94" s="14"/>
      <c r="W94" s="14"/>
      <c r="X94" s="14"/>
      <c r="Y94" s="15"/>
      <c r="Z94" s="132"/>
      <c r="AA94" s="14"/>
      <c r="AB94" s="14"/>
      <c r="AC94" s="15"/>
    </row>
    <row r="95" spans="1:29" s="122" customFormat="1" ht="15.75" customHeight="1" x14ac:dyDescent="0.25">
      <c r="A95" s="280"/>
      <c r="B95" s="151" t="s">
        <v>115</v>
      </c>
      <c r="C95" s="150" t="s">
        <v>116</v>
      </c>
      <c r="D95" s="13"/>
      <c r="E95" s="14">
        <f>113120/2/1121</f>
        <v>50.454950936663693</v>
      </c>
      <c r="F95" s="14">
        <f>110950/2/1121</f>
        <v>49.487065120428191</v>
      </c>
      <c r="G95" s="14">
        <f>111080/2/1121</f>
        <v>49.545049063336307</v>
      </c>
      <c r="H95" s="28"/>
      <c r="I95" s="29"/>
      <c r="J95" s="22"/>
      <c r="K95" s="19">
        <f>49030/2/896.8</f>
        <v>27.336083853702053</v>
      </c>
      <c r="L95" s="19">
        <f>51720/2/896.8</f>
        <v>28.835860838537023</v>
      </c>
      <c r="M95" s="28">
        <f>53780/2/896.8</f>
        <v>29.984388938447815</v>
      </c>
      <c r="N95" s="28">
        <f>53780/2/896.8</f>
        <v>29.984388938447815</v>
      </c>
      <c r="O95" s="29"/>
      <c r="P95" s="30"/>
      <c r="Q95" s="28"/>
      <c r="R95" s="28"/>
      <c r="S95" s="70"/>
      <c r="T95" s="29"/>
      <c r="U95" s="146"/>
      <c r="V95" s="134"/>
      <c r="W95" s="134"/>
      <c r="X95" s="134"/>
      <c r="Y95" s="124"/>
      <c r="Z95" s="146"/>
      <c r="AA95" s="134"/>
      <c r="AB95" s="134"/>
      <c r="AC95" s="137"/>
    </row>
    <row r="96" spans="1:29" s="122" customFormat="1" x14ac:dyDescent="0.25">
      <c r="A96" s="280"/>
      <c r="B96" s="151" t="s">
        <v>92</v>
      </c>
      <c r="C96" s="127" t="s">
        <v>93</v>
      </c>
      <c r="D96" s="13"/>
      <c r="E96" s="14">
        <f>113120/2/1121</f>
        <v>50.454950936663693</v>
      </c>
      <c r="F96" s="14">
        <f>110950/2/1121</f>
        <v>49.487065120428191</v>
      </c>
      <c r="G96" s="14">
        <f>111080/2/1121</f>
        <v>49.545049063336307</v>
      </c>
      <c r="H96" s="37"/>
      <c r="I96" s="38"/>
      <c r="J96" s="22"/>
      <c r="K96" s="19">
        <f>49030/2/896.8</f>
        <v>27.336083853702053</v>
      </c>
      <c r="L96" s="19">
        <f>51720/2/896.8</f>
        <v>28.835860838537023</v>
      </c>
      <c r="M96" s="28">
        <f>53780/2/896.8</f>
        <v>29.984388938447815</v>
      </c>
      <c r="N96" s="28"/>
      <c r="O96" s="38"/>
      <c r="P96" s="22"/>
      <c r="Q96" s="20"/>
      <c r="R96" s="20"/>
      <c r="S96" s="20"/>
      <c r="T96" s="21"/>
      <c r="U96" s="22"/>
      <c r="V96" s="20"/>
      <c r="W96" s="20"/>
      <c r="X96" s="20"/>
      <c r="Y96" s="21"/>
      <c r="Z96" s="245"/>
      <c r="AA96" s="154"/>
      <c r="AB96" s="154"/>
      <c r="AC96" s="48"/>
    </row>
    <row r="97" spans="1:29" s="122" customFormat="1" x14ac:dyDescent="0.25">
      <c r="A97" s="280"/>
      <c r="B97" s="151" t="s">
        <v>32</v>
      </c>
      <c r="C97" s="127" t="s">
        <v>72</v>
      </c>
      <c r="D97" s="13"/>
      <c r="E97" s="14">
        <f>113120/2/1121</f>
        <v>50.454950936663693</v>
      </c>
      <c r="F97" s="14">
        <f>110950/2/1121</f>
        <v>49.487065120428191</v>
      </c>
      <c r="G97" s="14">
        <f>111080/2/1121</f>
        <v>49.545049063336307</v>
      </c>
      <c r="H97" s="28"/>
      <c r="I97" s="29"/>
      <c r="J97" s="22">
        <f>49030/2/896.8</f>
        <v>27.336083853702053</v>
      </c>
      <c r="K97" s="19">
        <f>49030/2/896.8</f>
        <v>27.336083853702053</v>
      </c>
      <c r="L97" s="19">
        <f>51720/2/896.8</f>
        <v>28.835860838537023</v>
      </c>
      <c r="M97" s="28">
        <f>53780/2/896.8</f>
        <v>29.984388938447815</v>
      </c>
      <c r="N97" s="28">
        <f>53780/2/896.8</f>
        <v>29.984388938447815</v>
      </c>
      <c r="O97" s="29"/>
      <c r="P97" s="30">
        <f>61280/2/1121</f>
        <v>27.332738626226583</v>
      </c>
      <c r="Q97" s="28"/>
      <c r="R97" s="28"/>
      <c r="S97" s="70"/>
      <c r="T97" s="29"/>
      <c r="U97" s="146"/>
      <c r="V97" s="134"/>
      <c r="W97" s="134"/>
      <c r="X97" s="134"/>
      <c r="Y97" s="124"/>
      <c r="Z97" s="146"/>
      <c r="AA97" s="134"/>
      <c r="AB97" s="134"/>
      <c r="AC97" s="137"/>
    </row>
    <row r="98" spans="1:29" s="122" customFormat="1" x14ac:dyDescent="0.25">
      <c r="A98" s="280"/>
      <c r="B98" s="151" t="s">
        <v>88</v>
      </c>
      <c r="C98" s="127" t="s">
        <v>89</v>
      </c>
      <c r="D98" s="13"/>
      <c r="E98" s="14">
        <f>113120/2/1121</f>
        <v>50.454950936663693</v>
      </c>
      <c r="F98" s="14"/>
      <c r="G98" s="14">
        <f>111080/2/1121</f>
        <v>49.545049063336307</v>
      </c>
      <c r="H98" s="28"/>
      <c r="I98" s="29"/>
      <c r="J98" s="22"/>
      <c r="K98" s="19">
        <f>49030/2/896.8</f>
        <v>27.336083853702053</v>
      </c>
      <c r="L98" s="19">
        <f>51720/2/896.8</f>
        <v>28.835860838537023</v>
      </c>
      <c r="M98" s="28">
        <f>53780/2/896.8</f>
        <v>29.984388938447815</v>
      </c>
      <c r="N98" s="28">
        <f>53780/2/896.8</f>
        <v>29.984388938447815</v>
      </c>
      <c r="O98" s="29"/>
      <c r="P98" s="30"/>
      <c r="Q98" s="28"/>
      <c r="R98" s="28"/>
      <c r="S98" s="70"/>
      <c r="T98" s="29"/>
      <c r="U98" s="146"/>
      <c r="V98" s="134"/>
      <c r="W98" s="134"/>
      <c r="X98" s="134"/>
      <c r="Y98" s="124"/>
      <c r="Z98" s="146"/>
      <c r="AA98" s="134"/>
      <c r="AB98" s="134"/>
      <c r="AC98" s="137"/>
    </row>
    <row r="99" spans="1:29" s="122" customFormat="1" ht="15" customHeight="1" x14ac:dyDescent="0.25">
      <c r="A99" s="280"/>
      <c r="B99" s="65" t="s">
        <v>90</v>
      </c>
      <c r="C99" s="150" t="s">
        <v>94</v>
      </c>
      <c r="D99" s="13"/>
      <c r="E99" s="10">
        <f>113120/2/1121</f>
        <v>50.454950936663693</v>
      </c>
      <c r="F99" s="34">
        <f>113720/2/1121</f>
        <v>50.72256913470116</v>
      </c>
      <c r="G99" s="34">
        <f>118270/2/1121</f>
        <v>52.752007136485283</v>
      </c>
      <c r="H99" s="34"/>
      <c r="I99" s="35"/>
      <c r="J99" s="22"/>
      <c r="K99" s="28"/>
      <c r="L99" s="28"/>
      <c r="M99" s="34"/>
      <c r="N99" s="34">
        <f>61280/2/896.8</f>
        <v>34.165923282783233</v>
      </c>
      <c r="O99" s="35"/>
      <c r="P99" s="185"/>
      <c r="Q99" s="34"/>
      <c r="R99" s="34"/>
      <c r="S99" s="184"/>
      <c r="T99" s="35"/>
      <c r="U99" s="185">
        <f>55870/2/896.8</f>
        <v>31.149643175735953</v>
      </c>
      <c r="V99" s="142">
        <f>55870/2/896.8</f>
        <v>31.149643175735953</v>
      </c>
      <c r="W99" s="142">
        <f>58940/2/896.8</f>
        <v>32.86128456735058</v>
      </c>
      <c r="X99" s="142">
        <f>61280/2/896.8</f>
        <v>34.165923282783233</v>
      </c>
      <c r="Y99" s="149"/>
      <c r="Z99" s="185">
        <f>69830/2/1121</f>
        <v>31.146297948260482</v>
      </c>
      <c r="AA99" s="142"/>
      <c r="AB99" s="142"/>
      <c r="AC99" s="143"/>
    </row>
    <row r="100" spans="1:29" s="122" customFormat="1" x14ac:dyDescent="0.25">
      <c r="A100" s="280"/>
      <c r="B100" s="151" t="s">
        <v>82</v>
      </c>
      <c r="C100" s="127" t="s">
        <v>86</v>
      </c>
      <c r="D100" s="68">
        <f>121720/2/1080</f>
        <v>56.351851851851855</v>
      </c>
      <c r="E100" s="28">
        <f>121720/2/1080</f>
        <v>56.351851851851855</v>
      </c>
      <c r="F100" s="28"/>
      <c r="G100" s="28"/>
      <c r="H100" s="28"/>
      <c r="I100" s="29"/>
      <c r="J100" s="132">
        <f>52930/2/864</f>
        <v>30.630787037037038</v>
      </c>
      <c r="K100" s="28">
        <f>52930/2/864</f>
        <v>30.630787037037038</v>
      </c>
      <c r="L100" s="28">
        <f t="shared" ref="L100:L105" si="0">55840/2/864</f>
        <v>32.314814814814817</v>
      </c>
      <c r="M100" s="28"/>
      <c r="N100" s="28"/>
      <c r="O100" s="29"/>
      <c r="P100" s="30"/>
      <c r="Q100" s="28"/>
      <c r="R100" s="28"/>
      <c r="S100" s="28"/>
      <c r="T100" s="29"/>
      <c r="U100" s="146"/>
      <c r="V100" s="134"/>
      <c r="W100" s="134"/>
      <c r="X100" s="134"/>
      <c r="Y100" s="114"/>
      <c r="Z100" s="44"/>
      <c r="AA100" s="131"/>
      <c r="AB100" s="131"/>
      <c r="AC100" s="47"/>
    </row>
    <row r="101" spans="1:29" s="122" customFormat="1" x14ac:dyDescent="0.25">
      <c r="A101" s="280"/>
      <c r="B101" s="151" t="s">
        <v>83</v>
      </c>
      <c r="C101" s="127" t="s">
        <v>87</v>
      </c>
      <c r="D101" s="68">
        <f>121720/2/1080</f>
        <v>56.351851851851855</v>
      </c>
      <c r="E101" s="28">
        <f>121720/2/1080</f>
        <v>56.351851851851855</v>
      </c>
      <c r="F101" s="28"/>
      <c r="G101" s="31"/>
      <c r="H101" s="28"/>
      <c r="I101" s="29"/>
      <c r="J101" s="132">
        <f>52930/2/864</f>
        <v>30.630787037037038</v>
      </c>
      <c r="K101" s="28">
        <f>52930/2/864</f>
        <v>30.630787037037038</v>
      </c>
      <c r="L101" s="28">
        <f t="shared" si="0"/>
        <v>32.314814814814817</v>
      </c>
      <c r="M101" s="28"/>
      <c r="N101" s="28"/>
      <c r="O101" s="29"/>
      <c r="P101" s="30"/>
      <c r="Q101" s="28"/>
      <c r="R101" s="28"/>
      <c r="S101" s="28"/>
      <c r="T101" s="29"/>
      <c r="U101" s="146"/>
      <c r="V101" s="134"/>
      <c r="W101" s="134"/>
      <c r="X101" s="134"/>
      <c r="Y101" s="114"/>
      <c r="Z101" s="44"/>
      <c r="AA101" s="131"/>
      <c r="AB101" s="131"/>
      <c r="AC101" s="47"/>
    </row>
    <row r="102" spans="1:29" s="122" customFormat="1" x14ac:dyDescent="0.25">
      <c r="A102" s="280"/>
      <c r="B102" s="64" t="s">
        <v>125</v>
      </c>
      <c r="C102" s="125" t="s">
        <v>149</v>
      </c>
      <c r="D102" s="68"/>
      <c r="E102" s="14"/>
      <c r="F102" s="14"/>
      <c r="G102" s="14"/>
      <c r="H102" s="14"/>
      <c r="I102" s="15"/>
      <c r="J102" s="132"/>
      <c r="K102" s="28"/>
      <c r="L102" s="28">
        <f t="shared" si="0"/>
        <v>32.314814814814817</v>
      </c>
      <c r="M102" s="14"/>
      <c r="N102" s="14"/>
      <c r="O102" s="15"/>
      <c r="P102" s="132"/>
      <c r="Q102" s="14"/>
      <c r="R102" s="14"/>
      <c r="S102" s="14"/>
      <c r="T102" s="15"/>
      <c r="U102" s="36">
        <f>59160/2/864</f>
        <v>34.236111111111114</v>
      </c>
      <c r="V102" s="28">
        <f>59160/2/864</f>
        <v>34.236111111111114</v>
      </c>
      <c r="W102" s="14"/>
      <c r="X102" s="20"/>
      <c r="Y102" s="21"/>
      <c r="Z102" s="44"/>
      <c r="AA102" s="131"/>
      <c r="AB102" s="131"/>
      <c r="AC102" s="47"/>
    </row>
    <row r="103" spans="1:29" s="122" customFormat="1" x14ac:dyDescent="0.25">
      <c r="A103" s="280"/>
      <c r="B103" s="52" t="s">
        <v>31</v>
      </c>
      <c r="C103" s="124" t="s">
        <v>71</v>
      </c>
      <c r="D103" s="68"/>
      <c r="E103" s="14"/>
      <c r="F103" s="14"/>
      <c r="G103" s="14"/>
      <c r="H103" s="14"/>
      <c r="I103" s="15"/>
      <c r="J103" s="132">
        <f>52930/2/864</f>
        <v>30.630787037037038</v>
      </c>
      <c r="K103" s="28">
        <f>52930/2/864</f>
        <v>30.630787037037038</v>
      </c>
      <c r="L103" s="28">
        <f t="shared" si="0"/>
        <v>32.314814814814817</v>
      </c>
      <c r="M103" s="14"/>
      <c r="N103" s="14"/>
      <c r="O103" s="15"/>
      <c r="P103" s="132"/>
      <c r="Q103" s="14"/>
      <c r="R103" s="14"/>
      <c r="S103" s="41"/>
      <c r="T103" s="15"/>
      <c r="U103" s="36">
        <f>59160/2/864</f>
        <v>34.236111111111114</v>
      </c>
      <c r="V103" s="28">
        <f>59160/2/864</f>
        <v>34.236111111111114</v>
      </c>
      <c r="W103" s="14"/>
      <c r="X103" s="14"/>
      <c r="Y103" s="15"/>
      <c r="Z103" s="132"/>
      <c r="AA103" s="14"/>
      <c r="AB103" s="14"/>
      <c r="AC103" s="15"/>
    </row>
    <row r="104" spans="1:29" s="122" customFormat="1" x14ac:dyDescent="0.25">
      <c r="A104" s="280"/>
      <c r="B104" s="151" t="s">
        <v>91</v>
      </c>
      <c r="C104" s="150" t="s">
        <v>95</v>
      </c>
      <c r="D104" s="68"/>
      <c r="E104" s="28"/>
      <c r="F104" s="28"/>
      <c r="G104" s="28"/>
      <c r="H104" s="28"/>
      <c r="I104" s="29"/>
      <c r="J104" s="132"/>
      <c r="K104" s="28">
        <f>52930/2/864</f>
        <v>30.630787037037038</v>
      </c>
      <c r="L104" s="28">
        <f t="shared" si="0"/>
        <v>32.314814814814817</v>
      </c>
      <c r="M104" s="28"/>
      <c r="N104" s="28"/>
      <c r="O104" s="29"/>
      <c r="P104" s="30"/>
      <c r="Q104" s="28"/>
      <c r="R104" s="28"/>
      <c r="S104" s="70"/>
      <c r="T104" s="29"/>
      <c r="U104" s="146"/>
      <c r="V104" s="134"/>
      <c r="W104" s="134"/>
      <c r="X104" s="134"/>
      <c r="Y104" s="124"/>
      <c r="Z104" s="146"/>
      <c r="AA104" s="134"/>
      <c r="AB104" s="134"/>
      <c r="AC104" s="137"/>
    </row>
    <row r="105" spans="1:29" s="122" customFormat="1" x14ac:dyDescent="0.25">
      <c r="A105" s="280"/>
      <c r="B105" s="151" t="s">
        <v>125</v>
      </c>
      <c r="C105" s="127" t="s">
        <v>126</v>
      </c>
      <c r="D105" s="68">
        <f>121720/2/1080</f>
        <v>56.351851851851855</v>
      </c>
      <c r="E105" s="28">
        <f>121720/2/1080</f>
        <v>56.351851851851855</v>
      </c>
      <c r="F105" s="37"/>
      <c r="G105" s="37"/>
      <c r="H105" s="37"/>
      <c r="I105" s="38"/>
      <c r="J105" s="132"/>
      <c r="K105" s="28">
        <f>52930/2/864</f>
        <v>30.630787037037038</v>
      </c>
      <c r="L105" s="28">
        <f t="shared" si="0"/>
        <v>32.314814814814817</v>
      </c>
      <c r="M105" s="28"/>
      <c r="N105" s="28"/>
      <c r="O105" s="38"/>
      <c r="P105" s="39"/>
      <c r="Q105" s="37"/>
      <c r="R105" s="37"/>
      <c r="S105" s="71"/>
      <c r="T105" s="38"/>
      <c r="U105" s="147"/>
      <c r="V105" s="138"/>
      <c r="W105" s="138"/>
      <c r="X105" s="138"/>
      <c r="Y105" s="125"/>
      <c r="Z105" s="147"/>
      <c r="AA105" s="138"/>
      <c r="AB105" s="138"/>
      <c r="AC105" s="139"/>
    </row>
    <row r="106" spans="1:29" s="122" customFormat="1" x14ac:dyDescent="0.25">
      <c r="A106" s="280"/>
      <c r="B106" s="151" t="s">
        <v>127</v>
      </c>
      <c r="C106" s="127" t="s">
        <v>128</v>
      </c>
      <c r="D106" s="68"/>
      <c r="E106" s="28">
        <f>121720/2/1080</f>
        <v>56.351851851851855</v>
      </c>
      <c r="F106" s="28"/>
      <c r="G106" s="28"/>
      <c r="H106" s="28"/>
      <c r="I106" s="29"/>
      <c r="J106" s="36"/>
      <c r="K106" s="28"/>
      <c r="L106" s="28"/>
      <c r="M106" s="28"/>
      <c r="N106" s="28"/>
      <c r="O106" s="29"/>
      <c r="P106" s="30"/>
      <c r="Q106" s="28"/>
      <c r="R106" s="28"/>
      <c r="S106" s="70"/>
      <c r="T106" s="29"/>
      <c r="U106" s="30">
        <f>59160/2/864</f>
        <v>34.236111111111114</v>
      </c>
      <c r="V106" s="134">
        <f>59160/2/864</f>
        <v>34.236111111111114</v>
      </c>
      <c r="W106" s="134">
        <f>62410/2/864</f>
        <v>36.116898148148145</v>
      </c>
      <c r="X106" s="134"/>
      <c r="Y106" s="124"/>
      <c r="Z106" s="146"/>
      <c r="AA106" s="134"/>
      <c r="AB106" s="134"/>
      <c r="AC106" s="137"/>
    </row>
    <row r="107" spans="1:29" s="122" customFormat="1" x14ac:dyDescent="0.25">
      <c r="A107" s="280"/>
      <c r="B107" s="151" t="s">
        <v>84</v>
      </c>
      <c r="C107" s="127" t="s">
        <v>117</v>
      </c>
      <c r="D107" s="13">
        <f>113120/2/1112.8</f>
        <v>50.82674335010784</v>
      </c>
      <c r="E107" s="28">
        <f>113120/2/1112.8</f>
        <v>50.82674335010784</v>
      </c>
      <c r="F107" s="28">
        <f>110950/2/1112.8</f>
        <v>49.851725377426312</v>
      </c>
      <c r="G107" s="28">
        <f>111080/2/1112.8</f>
        <v>49.910136592379587</v>
      </c>
      <c r="H107" s="28">
        <f>114820/2/1112.8</f>
        <v>51.590582314881381</v>
      </c>
      <c r="I107" s="29"/>
      <c r="J107" s="36">
        <f>49030/2/927.3</f>
        <v>26.436967540170389</v>
      </c>
      <c r="K107" s="14">
        <f>49030/2/927.3</f>
        <v>26.436967540170389</v>
      </c>
      <c r="L107" s="14">
        <f>51720/2/927.3</f>
        <v>27.887415076027178</v>
      </c>
      <c r="M107" s="28">
        <f>53780/2/927.3</f>
        <v>28.998166720586649</v>
      </c>
      <c r="N107" s="28">
        <f>53780/2/927.3</f>
        <v>28.998166720586649</v>
      </c>
      <c r="O107" s="15">
        <f>55390/2/927.3</f>
        <v>29.8662784427909</v>
      </c>
      <c r="P107" s="316">
        <f>58830/2/1112.8</f>
        <v>26.433321351545651</v>
      </c>
      <c r="Q107" s="28">
        <f>58830/2/1112.8</f>
        <v>26.433321351545651</v>
      </c>
      <c r="R107" s="28"/>
      <c r="S107" s="70"/>
      <c r="T107" s="29"/>
      <c r="U107" s="185"/>
      <c r="V107" s="134"/>
      <c r="W107" s="134"/>
      <c r="X107" s="134"/>
      <c r="Y107" s="124"/>
      <c r="Z107" s="146"/>
      <c r="AA107" s="134"/>
      <c r="AB107" s="134"/>
      <c r="AC107" s="137"/>
    </row>
    <row r="108" spans="1:29" s="122" customFormat="1" x14ac:dyDescent="0.25">
      <c r="A108" s="280"/>
      <c r="B108" s="151" t="s">
        <v>84</v>
      </c>
      <c r="C108" s="127" t="s">
        <v>168</v>
      </c>
      <c r="D108" s="13"/>
      <c r="E108" s="28"/>
      <c r="F108" s="28"/>
      <c r="G108" s="28"/>
      <c r="H108" s="28">
        <f>114820/2/1112.8</f>
        <v>51.590582314881381</v>
      </c>
      <c r="I108" s="29"/>
      <c r="J108" s="30"/>
      <c r="K108" s="28"/>
      <c r="L108" s="28"/>
      <c r="M108" s="28"/>
      <c r="N108" s="28">
        <f>53780/2/927.3</f>
        <v>28.998166720586649</v>
      </c>
      <c r="O108" s="15">
        <f>50270/2/927.3</f>
        <v>27.105575326215899</v>
      </c>
      <c r="P108" s="36"/>
      <c r="Q108" s="28"/>
      <c r="R108" s="28"/>
      <c r="S108" s="28"/>
      <c r="T108" s="29"/>
      <c r="U108" s="146"/>
      <c r="V108" s="134"/>
      <c r="W108" s="134"/>
      <c r="X108" s="134"/>
      <c r="Y108" s="114"/>
      <c r="Z108" s="44"/>
      <c r="AA108" s="131"/>
      <c r="AB108" s="131"/>
      <c r="AC108" s="47"/>
    </row>
    <row r="109" spans="1:29" s="122" customFormat="1" x14ac:dyDescent="0.25">
      <c r="A109" s="280"/>
      <c r="B109" s="64" t="s">
        <v>129</v>
      </c>
      <c r="C109" s="125" t="s">
        <v>130</v>
      </c>
      <c r="D109" s="13">
        <f>113120/2/1112.8</f>
        <v>50.82674335010784</v>
      </c>
      <c r="E109" s="28">
        <f>113120/2/1112.8</f>
        <v>50.82674335010784</v>
      </c>
      <c r="F109" s="28">
        <f>110950/2/1112.8</f>
        <v>49.851725377426312</v>
      </c>
      <c r="G109" s="28">
        <f>111080/2/1112.8</f>
        <v>49.910136592379587</v>
      </c>
      <c r="H109" s="28">
        <f>114820/2/1112.8</f>
        <v>51.590582314881381</v>
      </c>
      <c r="I109" s="15"/>
      <c r="J109" s="36">
        <f>49030/2/927.3</f>
        <v>26.436967540170389</v>
      </c>
      <c r="K109" s="14">
        <f>49030/2/927.3</f>
        <v>26.436967540170389</v>
      </c>
      <c r="L109" s="14">
        <f>51720/2/927.3</f>
        <v>27.887415076027178</v>
      </c>
      <c r="M109" s="28">
        <f>53780/2/927.3</f>
        <v>28.998166720586649</v>
      </c>
      <c r="N109" s="14">
        <f>53780/2/927.3</f>
        <v>28.998166720586649</v>
      </c>
      <c r="O109" s="15">
        <f>50270/2/927.3</f>
        <v>27.105575326215899</v>
      </c>
      <c r="P109" s="132"/>
      <c r="Q109" s="14"/>
      <c r="R109" s="14"/>
      <c r="S109" s="14"/>
      <c r="T109" s="15"/>
      <c r="U109" s="22"/>
      <c r="V109" s="14"/>
      <c r="W109" s="14"/>
      <c r="X109" s="20"/>
      <c r="Y109" s="21"/>
      <c r="Z109" s="44"/>
      <c r="AA109" s="131"/>
      <c r="AB109" s="131"/>
      <c r="AC109" s="47"/>
    </row>
    <row r="110" spans="1:29" s="122" customFormat="1" x14ac:dyDescent="0.25">
      <c r="A110" s="280"/>
      <c r="B110" s="64" t="s">
        <v>129</v>
      </c>
      <c r="C110" s="125" t="s">
        <v>145</v>
      </c>
      <c r="D110" s="13"/>
      <c r="E110" s="14"/>
      <c r="F110" s="28"/>
      <c r="G110" s="28"/>
      <c r="H110" s="28">
        <f>114820/2/1112.8</f>
        <v>51.590582314881381</v>
      </c>
      <c r="I110" s="42"/>
      <c r="J110" s="132"/>
      <c r="K110" s="14"/>
      <c r="L110" s="28"/>
      <c r="M110" s="14"/>
      <c r="N110" s="14">
        <f>53780/2/927.3</f>
        <v>28.998166720586649</v>
      </c>
      <c r="O110" s="15">
        <f>55390/2/927.3</f>
        <v>29.8662784427909</v>
      </c>
      <c r="P110" s="132"/>
      <c r="Q110" s="14"/>
      <c r="R110" s="14"/>
      <c r="S110" s="14"/>
      <c r="T110" s="15"/>
      <c r="U110" s="22"/>
      <c r="V110" s="14"/>
      <c r="W110" s="14"/>
      <c r="X110" s="20"/>
      <c r="Y110" s="21"/>
      <c r="Z110" s="44"/>
      <c r="AA110" s="131"/>
      <c r="AB110" s="131"/>
      <c r="AC110" s="47"/>
    </row>
    <row r="111" spans="1:29" s="122" customFormat="1" x14ac:dyDescent="0.25">
      <c r="A111" s="280"/>
      <c r="B111" s="195" t="s">
        <v>150</v>
      </c>
      <c r="C111" s="124" t="s">
        <v>151</v>
      </c>
      <c r="D111" s="13"/>
      <c r="E111" s="14"/>
      <c r="F111" s="28"/>
      <c r="G111" s="28">
        <f>111080/2/1112.8</f>
        <v>49.910136592379587</v>
      </c>
      <c r="H111" s="28"/>
      <c r="I111" s="72"/>
      <c r="J111" s="132"/>
      <c r="K111" s="14"/>
      <c r="L111" s="14"/>
      <c r="M111" s="14">
        <f>53780/2/927.3</f>
        <v>28.998166720586649</v>
      </c>
      <c r="N111" s="28"/>
      <c r="O111" s="29"/>
      <c r="P111" s="132"/>
      <c r="Q111" s="14"/>
      <c r="R111" s="14"/>
      <c r="S111" s="14"/>
      <c r="T111" s="15"/>
      <c r="U111" s="132"/>
      <c r="V111" s="14"/>
      <c r="W111" s="14"/>
      <c r="X111" s="14"/>
      <c r="Y111" s="15"/>
      <c r="Z111" s="44"/>
      <c r="AA111" s="131"/>
      <c r="AB111" s="131"/>
      <c r="AC111" s="47"/>
    </row>
    <row r="112" spans="1:29" s="122" customFormat="1" ht="15.75" thickBot="1" x14ac:dyDescent="0.3">
      <c r="A112" s="281"/>
      <c r="B112" s="160" t="s">
        <v>152</v>
      </c>
      <c r="C112" s="126" t="s">
        <v>153</v>
      </c>
      <c r="D112" s="317">
        <f>113120/2/1112.8</f>
        <v>50.82674335010784</v>
      </c>
      <c r="E112" s="32">
        <f>113120/2/1112.8</f>
        <v>50.82674335010784</v>
      </c>
      <c r="F112" s="32">
        <f>110950/2/1112.8</f>
        <v>49.851725377426312</v>
      </c>
      <c r="G112" s="16">
        <f>111080/2/1112.8</f>
        <v>49.910136592379587</v>
      </c>
      <c r="H112" s="16">
        <f>114820/2/1116.4</f>
        <v>51.424220709423139</v>
      </c>
      <c r="I112" s="191"/>
      <c r="J112" s="18"/>
      <c r="K112" s="16"/>
      <c r="L112" s="16"/>
      <c r="M112" s="16"/>
      <c r="N112" s="16"/>
      <c r="O112" s="17"/>
      <c r="P112" s="18"/>
      <c r="Q112" s="16"/>
      <c r="R112" s="16"/>
      <c r="S112" s="16"/>
      <c r="T112" s="17"/>
      <c r="U112" s="18"/>
      <c r="V112" s="16"/>
      <c r="W112" s="16"/>
      <c r="X112" s="16"/>
      <c r="Y112" s="17"/>
      <c r="Z112" s="78"/>
      <c r="AA112" s="158"/>
      <c r="AB112" s="158"/>
      <c r="AC112" s="49"/>
    </row>
    <row r="113" spans="1:29" s="122" customFormat="1" x14ac:dyDescent="0.25">
      <c r="A113" s="283" t="s">
        <v>119</v>
      </c>
      <c r="B113" s="155">
        <v>36959</v>
      </c>
      <c r="C113" s="181" t="s">
        <v>49</v>
      </c>
      <c r="D113" s="318">
        <f>131130/2/1121</f>
        <v>58.487957181088312</v>
      </c>
      <c r="E113" s="319">
        <f>131130/2/1121</f>
        <v>58.487957181088312</v>
      </c>
      <c r="F113" s="320">
        <f>129210/2/1121</f>
        <v>57.631578947368418</v>
      </c>
      <c r="G113" s="320">
        <f>129640/2/1121</f>
        <v>57.823371989295275</v>
      </c>
      <c r="H113" s="135"/>
      <c r="I113" s="136"/>
      <c r="J113" s="152">
        <f>55870/2/896.8</f>
        <v>31.149643175735953</v>
      </c>
      <c r="K113" s="142">
        <f>55870/2/896.8</f>
        <v>31.149643175735953</v>
      </c>
      <c r="L113" s="142">
        <f>58940/2/896.8</f>
        <v>32.86128456735058</v>
      </c>
      <c r="M113" s="142">
        <f>61280/2/896.8</f>
        <v>34.165923282783233</v>
      </c>
      <c r="N113" s="142">
        <f>61280/2/896.8</f>
        <v>34.165923282783233</v>
      </c>
      <c r="O113" s="143"/>
      <c r="P113" s="144">
        <f>69830/2/1121</f>
        <v>31.146297948260482</v>
      </c>
      <c r="Q113" s="135"/>
      <c r="R113" s="135"/>
      <c r="S113" s="135"/>
      <c r="T113" s="136"/>
      <c r="U113" s="144"/>
      <c r="V113" s="135"/>
      <c r="W113" s="135"/>
      <c r="X113" s="135"/>
      <c r="Y113" s="123"/>
      <c r="Z113" s="135"/>
      <c r="AA113" s="135"/>
      <c r="AB113" s="135"/>
      <c r="AC113" s="136"/>
    </row>
    <row r="114" spans="1:29" s="122" customFormat="1" x14ac:dyDescent="0.25">
      <c r="A114" s="283"/>
      <c r="B114" s="151">
        <v>38055</v>
      </c>
      <c r="C114" s="163" t="s">
        <v>65</v>
      </c>
      <c r="D114" s="183">
        <f>131130/2/1121</f>
        <v>58.487957181088312</v>
      </c>
      <c r="E114" s="182">
        <f>131130/2/1121</f>
        <v>58.487957181088312</v>
      </c>
      <c r="F114" s="145">
        <f>129210/2/1121</f>
        <v>57.631578947368418</v>
      </c>
      <c r="G114" s="145">
        <f>129640/2/1121</f>
        <v>57.823371989295275</v>
      </c>
      <c r="H114" s="142"/>
      <c r="I114" s="143"/>
      <c r="J114" s="146"/>
      <c r="K114" s="134"/>
      <c r="L114" s="134"/>
      <c r="M114" s="134"/>
      <c r="N114" s="134"/>
      <c r="O114" s="137"/>
      <c r="P114" s="146"/>
      <c r="Q114" s="142"/>
      <c r="R114" s="142"/>
      <c r="S114" s="142"/>
      <c r="T114" s="143"/>
      <c r="U114" s="152"/>
      <c r="V114" s="142"/>
      <c r="W114" s="142"/>
      <c r="X114" s="142"/>
      <c r="Y114" s="149"/>
      <c r="Z114" s="142"/>
      <c r="AA114" s="142"/>
      <c r="AB114" s="142"/>
      <c r="AC114" s="143"/>
    </row>
    <row r="115" spans="1:29" s="122" customFormat="1" x14ac:dyDescent="0.25">
      <c r="A115" s="284"/>
      <c r="B115" s="151">
        <v>37330</v>
      </c>
      <c r="C115" s="162" t="s">
        <v>43</v>
      </c>
      <c r="D115" s="80"/>
      <c r="E115" s="182">
        <f>131130/2/1121</f>
        <v>58.487957181088312</v>
      </c>
      <c r="F115" s="145">
        <f>129210/2/1121</f>
        <v>57.631578947368418</v>
      </c>
      <c r="G115" s="145">
        <f>129640/2/1121</f>
        <v>57.823371989295275</v>
      </c>
      <c r="H115" s="134"/>
      <c r="I115" s="137"/>
      <c r="J115" s="146">
        <f t="shared" ref="J115:K117" si="1">55870/2/896.8</f>
        <v>31.149643175735953</v>
      </c>
      <c r="K115" s="134">
        <f t="shared" si="1"/>
        <v>31.149643175735953</v>
      </c>
      <c r="L115" s="134">
        <f>58940/2/896.8</f>
        <v>32.86128456735058</v>
      </c>
      <c r="M115" s="134">
        <f t="shared" ref="M115:N117" si="2">61280/2/896.8</f>
        <v>34.165923282783233</v>
      </c>
      <c r="N115" s="134">
        <f t="shared" si="2"/>
        <v>34.165923282783233</v>
      </c>
      <c r="O115" s="137"/>
      <c r="P115" s="146">
        <f>69830/2/1121</f>
        <v>31.146297948260482</v>
      </c>
      <c r="Q115" s="134"/>
      <c r="R115" s="134"/>
      <c r="S115" s="134"/>
      <c r="T115" s="58"/>
      <c r="U115" s="146"/>
      <c r="V115" s="134"/>
      <c r="W115" s="134"/>
      <c r="X115" s="134"/>
      <c r="Y115" s="124"/>
      <c r="Z115" s="134"/>
      <c r="AA115" s="134"/>
      <c r="AB115" s="134"/>
      <c r="AC115" s="137"/>
    </row>
    <row r="116" spans="1:29" s="122" customFormat="1" x14ac:dyDescent="0.25">
      <c r="A116" s="284"/>
      <c r="B116" s="151">
        <v>38426</v>
      </c>
      <c r="C116" s="162" t="s">
        <v>44</v>
      </c>
      <c r="D116" s="80">
        <f>127940/2/1121</f>
        <v>57.065120428189118</v>
      </c>
      <c r="E116" s="308">
        <f>131130/2/1121</f>
        <v>58.487957181088312</v>
      </c>
      <c r="F116" s="182">
        <f>129210/2/1121</f>
        <v>57.631578947368418</v>
      </c>
      <c r="G116" s="145">
        <f>129640/2/1121</f>
        <v>57.823371989295275</v>
      </c>
      <c r="H116" s="134"/>
      <c r="I116" s="137"/>
      <c r="J116" s="146">
        <f t="shared" si="1"/>
        <v>31.149643175735953</v>
      </c>
      <c r="K116" s="134">
        <f t="shared" si="1"/>
        <v>31.149643175735953</v>
      </c>
      <c r="L116" s="134">
        <f>58940/2/896.8</f>
        <v>32.86128456735058</v>
      </c>
      <c r="M116" s="134">
        <f t="shared" si="2"/>
        <v>34.165923282783233</v>
      </c>
      <c r="N116" s="134">
        <f t="shared" si="2"/>
        <v>34.165923282783233</v>
      </c>
      <c r="O116" s="137"/>
      <c r="P116" s="146">
        <f>69830/2/1121</f>
        <v>31.146297948260482</v>
      </c>
      <c r="Q116" s="134"/>
      <c r="R116" s="134"/>
      <c r="S116" s="134"/>
      <c r="T116" s="58"/>
      <c r="U116" s="146"/>
      <c r="V116" s="134"/>
      <c r="W116" s="134"/>
      <c r="X116" s="134"/>
      <c r="Y116" s="124"/>
      <c r="Z116" s="134"/>
      <c r="AA116" s="134"/>
      <c r="AB116" s="134"/>
      <c r="AC116" s="137"/>
    </row>
    <row r="117" spans="1:29" s="122" customFormat="1" x14ac:dyDescent="0.25">
      <c r="A117" s="284"/>
      <c r="B117" s="151">
        <v>36968</v>
      </c>
      <c r="C117" s="162" t="s">
        <v>79</v>
      </c>
      <c r="D117" s="80">
        <f>127940/2/1121</f>
        <v>57.065120428189118</v>
      </c>
      <c r="E117" s="308">
        <f>131130/2/1121</f>
        <v>58.487957181088312</v>
      </c>
      <c r="F117" s="145">
        <f>129210/2/1121</f>
        <v>57.631578947368418</v>
      </c>
      <c r="G117" s="145">
        <f>129640/2/1121</f>
        <v>57.823371989295275</v>
      </c>
      <c r="H117" s="134"/>
      <c r="I117" s="137"/>
      <c r="J117" s="146">
        <f t="shared" si="1"/>
        <v>31.149643175735953</v>
      </c>
      <c r="K117" s="134">
        <f t="shared" si="1"/>
        <v>31.149643175735953</v>
      </c>
      <c r="L117" s="134">
        <f>58940/2/896.8</f>
        <v>32.86128456735058</v>
      </c>
      <c r="M117" s="134">
        <f t="shared" si="2"/>
        <v>34.165923282783233</v>
      </c>
      <c r="N117" s="134">
        <f t="shared" si="2"/>
        <v>34.165923282783233</v>
      </c>
      <c r="O117" s="137"/>
      <c r="P117" s="146">
        <f>69830/2/1121</f>
        <v>31.146297948260482</v>
      </c>
      <c r="Q117" s="134"/>
      <c r="R117" s="134"/>
      <c r="S117" s="134"/>
      <c r="T117" s="58"/>
      <c r="U117" s="146"/>
      <c r="V117" s="134"/>
      <c r="W117" s="134"/>
      <c r="X117" s="134"/>
      <c r="Y117" s="124"/>
      <c r="Z117" s="134"/>
      <c r="AA117" s="134"/>
      <c r="AB117" s="134"/>
      <c r="AC117" s="137"/>
    </row>
    <row r="118" spans="1:29" s="122" customFormat="1" x14ac:dyDescent="0.25">
      <c r="A118" s="284"/>
      <c r="B118" s="151">
        <v>36999</v>
      </c>
      <c r="C118" s="112" t="s">
        <v>80</v>
      </c>
      <c r="D118" s="315">
        <f>136770/2/1080</f>
        <v>63.319444444444443</v>
      </c>
      <c r="E118" s="14">
        <f>139660/2/1080</f>
        <v>64.657407407407405</v>
      </c>
      <c r="F118" s="145"/>
      <c r="G118" s="145"/>
      <c r="H118" s="134"/>
      <c r="I118" s="137"/>
      <c r="J118" s="146"/>
      <c r="K118" s="134"/>
      <c r="L118" s="134"/>
      <c r="M118" s="134"/>
      <c r="N118" s="134"/>
      <c r="O118" s="137"/>
      <c r="P118" s="146"/>
      <c r="Q118" s="134"/>
      <c r="R118" s="134"/>
      <c r="S118" s="134"/>
      <c r="T118" s="58"/>
      <c r="U118" s="14"/>
      <c r="V118" s="134"/>
      <c r="W118" s="134"/>
      <c r="X118" s="134"/>
      <c r="Y118" s="124"/>
      <c r="Z118" s="134"/>
      <c r="AA118" s="134"/>
      <c r="AB118" s="134"/>
      <c r="AC118" s="137"/>
    </row>
    <row r="119" spans="1:29" s="122" customFormat="1" x14ac:dyDescent="0.25">
      <c r="A119" s="284"/>
      <c r="B119" s="151">
        <v>36970</v>
      </c>
      <c r="C119" s="162" t="s">
        <v>78</v>
      </c>
      <c r="D119" s="80"/>
      <c r="E119" s="145"/>
      <c r="F119" s="145"/>
      <c r="G119" s="145"/>
      <c r="H119" s="134"/>
      <c r="I119" s="137"/>
      <c r="J119" s="146"/>
      <c r="K119" s="134"/>
      <c r="L119" s="134"/>
      <c r="M119" s="134"/>
      <c r="N119" s="134">
        <f>61280/2/896.8</f>
        <v>34.165923282783233</v>
      </c>
      <c r="O119" s="137"/>
      <c r="P119" s="146"/>
      <c r="Q119" s="134"/>
      <c r="R119" s="134"/>
      <c r="S119" s="134"/>
      <c r="T119" s="58"/>
      <c r="U119" s="146"/>
      <c r="V119" s="134"/>
      <c r="W119" s="134"/>
      <c r="X119" s="134"/>
      <c r="Y119" s="124"/>
      <c r="Z119" s="134"/>
      <c r="AA119" s="134"/>
      <c r="AB119" s="134"/>
      <c r="AC119" s="137"/>
    </row>
    <row r="120" spans="1:29" s="122" customFormat="1" x14ac:dyDescent="0.25">
      <c r="A120" s="284"/>
      <c r="B120" s="151">
        <v>36971</v>
      </c>
      <c r="C120" s="162" t="s">
        <v>15</v>
      </c>
      <c r="D120" s="80">
        <f>162170/2/1121</f>
        <v>72.332738626226586</v>
      </c>
      <c r="E120" s="145">
        <f>162170/2/1121</f>
        <v>72.332738626226586</v>
      </c>
      <c r="F120" s="145"/>
      <c r="G120" s="145">
        <f>177920/2/1121</f>
        <v>79.357716324710083</v>
      </c>
      <c r="H120" s="134"/>
      <c r="I120" s="137"/>
      <c r="J120" s="146"/>
      <c r="K120" s="134"/>
      <c r="L120" s="134"/>
      <c r="M120" s="134"/>
      <c r="N120" s="134"/>
      <c r="O120" s="137"/>
      <c r="P120" s="146"/>
      <c r="Q120" s="134"/>
      <c r="R120" s="134"/>
      <c r="S120" s="133"/>
      <c r="T120" s="58"/>
      <c r="U120" s="14">
        <f>84090/2/896.8</f>
        <v>46.883363068688674</v>
      </c>
      <c r="V120" s="14">
        <f>84090/2/896.8</f>
        <v>46.883363068688674</v>
      </c>
      <c r="W120" s="14"/>
      <c r="X120" s="14"/>
      <c r="Y120" s="14">
        <f>92250/2/896.8</f>
        <v>51.432872435325606</v>
      </c>
      <c r="Z120" s="83">
        <f>105110/2/1121</f>
        <v>46.882247992863512</v>
      </c>
      <c r="AA120" s="134"/>
      <c r="AB120" s="134"/>
      <c r="AC120" s="137"/>
    </row>
    <row r="121" spans="1:29" s="122" customFormat="1" ht="15.75" thickBot="1" x14ac:dyDescent="0.3">
      <c r="A121" s="284"/>
      <c r="B121" s="74">
        <v>38440</v>
      </c>
      <c r="C121" s="161" t="s">
        <v>139</v>
      </c>
      <c r="D121" s="321">
        <f>127940/2/1121</f>
        <v>57.065120428189118</v>
      </c>
      <c r="E121" s="309">
        <f>131130/2/1121</f>
        <v>58.487957181088312</v>
      </c>
      <c r="F121" s="180"/>
      <c r="G121" s="180"/>
      <c r="H121" s="140"/>
      <c r="I121" s="141"/>
      <c r="J121" s="148">
        <f>55870/2/896.8</f>
        <v>31.149643175735953</v>
      </c>
      <c r="K121" s="140"/>
      <c r="L121" s="180"/>
      <c r="M121" s="180"/>
      <c r="N121" s="180"/>
      <c r="O121" s="141"/>
      <c r="P121" s="148">
        <f>69830/2/1121</f>
        <v>31.146297948260482</v>
      </c>
      <c r="Q121" s="140"/>
      <c r="R121" s="140"/>
      <c r="S121" s="140"/>
      <c r="T121" s="141"/>
      <c r="U121" s="148"/>
      <c r="V121" s="140"/>
      <c r="W121" s="140"/>
      <c r="X121" s="140"/>
      <c r="Y121" s="126"/>
      <c r="Z121" s="140"/>
      <c r="AA121" s="140"/>
      <c r="AB121" s="140"/>
      <c r="AC121" s="141"/>
    </row>
    <row r="122" spans="1:29" s="122" customFormat="1" x14ac:dyDescent="0.25">
      <c r="A122" s="284"/>
      <c r="B122" s="65">
        <v>39122</v>
      </c>
      <c r="C122" s="162" t="s">
        <v>157</v>
      </c>
      <c r="D122" s="345">
        <f>78370/2/742.5</f>
        <v>52.774410774410775</v>
      </c>
      <c r="E122" s="319">
        <f>78370/2/742.5</f>
        <v>52.774410774410775</v>
      </c>
      <c r="F122" s="319">
        <f>82680/2/742.5</f>
        <v>55.676767676767675</v>
      </c>
      <c r="G122" s="319">
        <f>81320/2/742.5</f>
        <v>54.760942760942761</v>
      </c>
      <c r="H122" s="135"/>
      <c r="I122" s="136"/>
      <c r="J122" s="172"/>
      <c r="K122" s="173"/>
      <c r="L122" s="173"/>
      <c r="M122" s="173"/>
      <c r="N122" s="173"/>
      <c r="O122" s="174"/>
      <c r="P122" s="178"/>
      <c r="Q122" s="173"/>
      <c r="R122" s="173"/>
      <c r="S122" s="173"/>
      <c r="T122" s="173"/>
      <c r="U122" s="178"/>
      <c r="V122" s="173"/>
      <c r="W122" s="173"/>
      <c r="X122" s="173"/>
      <c r="Y122" s="179"/>
      <c r="Z122" s="173"/>
      <c r="AA122" s="173"/>
      <c r="AB122" s="173"/>
      <c r="AC122" s="174"/>
    </row>
    <row r="123" spans="1:29" s="122" customFormat="1" x14ac:dyDescent="0.25">
      <c r="A123" s="284"/>
      <c r="B123" s="151">
        <v>39493</v>
      </c>
      <c r="C123" s="163" t="s">
        <v>134</v>
      </c>
      <c r="D123" s="183"/>
      <c r="E123" s="182"/>
      <c r="F123" s="182">
        <f>82680/2/823.5</f>
        <v>50.200364298724956</v>
      </c>
      <c r="G123" s="182">
        <f>81320/2/823.5</f>
        <v>49.374620522161507</v>
      </c>
      <c r="H123" s="134"/>
      <c r="I123" s="137"/>
      <c r="J123" s="159"/>
      <c r="K123" s="138"/>
      <c r="L123" s="138"/>
      <c r="M123" s="138"/>
      <c r="N123" s="138"/>
      <c r="O123" s="139"/>
      <c r="P123" s="147"/>
      <c r="Q123" s="138"/>
      <c r="R123" s="138"/>
      <c r="S123" s="138"/>
      <c r="T123" s="138"/>
      <c r="U123" s="147"/>
      <c r="V123" s="138"/>
      <c r="W123" s="138"/>
      <c r="X123" s="138"/>
      <c r="Y123" s="125"/>
      <c r="Z123" s="138"/>
      <c r="AA123" s="138"/>
      <c r="AB123" s="138"/>
      <c r="AC123" s="139"/>
    </row>
    <row r="124" spans="1:29" s="122" customFormat="1" x14ac:dyDescent="0.25">
      <c r="A124" s="284"/>
      <c r="B124" s="151">
        <v>42415</v>
      </c>
      <c r="C124" s="162" t="s">
        <v>134</v>
      </c>
      <c r="D124" s="183">
        <f>78370/2/742.5</f>
        <v>52.774410774410775</v>
      </c>
      <c r="E124" s="182">
        <f>78370/2/742.5</f>
        <v>52.774410774410775</v>
      </c>
      <c r="F124" s="182"/>
      <c r="G124" s="182"/>
      <c r="H124" s="134"/>
      <c r="I124" s="137"/>
      <c r="J124" s="159"/>
      <c r="K124" s="138"/>
      <c r="L124" s="138"/>
      <c r="M124" s="138"/>
      <c r="N124" s="138"/>
      <c r="O124" s="139"/>
      <c r="P124" s="147"/>
      <c r="Q124" s="138"/>
      <c r="R124" s="138"/>
      <c r="S124" s="138"/>
      <c r="T124" s="138"/>
      <c r="U124" s="147"/>
      <c r="V124" s="138"/>
      <c r="W124" s="138"/>
      <c r="X124" s="138"/>
      <c r="Y124" s="125"/>
      <c r="Z124" s="138"/>
      <c r="AA124" s="138"/>
      <c r="AB124" s="138"/>
      <c r="AC124" s="139"/>
    </row>
    <row r="125" spans="1:29" s="122" customFormat="1" x14ac:dyDescent="0.25">
      <c r="A125" s="284"/>
      <c r="B125" s="151">
        <v>40954</v>
      </c>
      <c r="C125" s="162" t="s">
        <v>158</v>
      </c>
      <c r="D125" s="183"/>
      <c r="E125" s="182">
        <f>78370/2/742.5</f>
        <v>52.774410774410775</v>
      </c>
      <c r="F125" s="182">
        <f>82680/2/742.5</f>
        <v>55.676767676767675</v>
      </c>
      <c r="G125" s="182">
        <f>81320/2/742.5</f>
        <v>54.760942760942761</v>
      </c>
      <c r="H125" s="134"/>
      <c r="I125" s="137"/>
      <c r="J125" s="159"/>
      <c r="K125" s="138"/>
      <c r="L125" s="138"/>
      <c r="M125" s="138"/>
      <c r="N125" s="138"/>
      <c r="O125" s="139"/>
      <c r="P125" s="147"/>
      <c r="Q125" s="138"/>
      <c r="R125" s="138"/>
      <c r="S125" s="138"/>
      <c r="T125" s="138"/>
      <c r="U125" s="147"/>
      <c r="V125" s="138"/>
      <c r="W125" s="138"/>
      <c r="X125" s="138"/>
      <c r="Y125" s="125"/>
      <c r="Z125" s="138"/>
      <c r="AA125" s="138"/>
      <c r="AB125" s="138"/>
      <c r="AC125" s="139"/>
    </row>
    <row r="126" spans="1:29" s="122" customFormat="1" x14ac:dyDescent="0.25">
      <c r="A126" s="284"/>
      <c r="B126" s="151">
        <v>42781</v>
      </c>
      <c r="C126" s="162" t="s">
        <v>158</v>
      </c>
      <c r="D126" s="183">
        <f>78370/2/742.5</f>
        <v>52.774410774410775</v>
      </c>
      <c r="E126" s="182"/>
      <c r="F126" s="182"/>
      <c r="G126" s="182"/>
      <c r="H126" s="134"/>
      <c r="I126" s="137"/>
      <c r="J126" s="159"/>
      <c r="K126" s="138"/>
      <c r="L126" s="138"/>
      <c r="M126" s="138"/>
      <c r="N126" s="138"/>
      <c r="O126" s="139"/>
      <c r="P126" s="147"/>
      <c r="Q126" s="138"/>
      <c r="R126" s="138"/>
      <c r="S126" s="138"/>
      <c r="T126" s="138"/>
      <c r="U126" s="147"/>
      <c r="V126" s="138"/>
      <c r="W126" s="138"/>
      <c r="X126" s="138"/>
      <c r="Y126" s="125"/>
      <c r="Z126" s="138"/>
      <c r="AA126" s="138"/>
      <c r="AB126" s="138"/>
      <c r="AC126" s="139"/>
    </row>
    <row r="127" spans="1:29" s="122" customFormat="1" x14ac:dyDescent="0.25">
      <c r="A127" s="284"/>
      <c r="B127" s="151">
        <v>41685</v>
      </c>
      <c r="C127" s="162" t="s">
        <v>159</v>
      </c>
      <c r="D127" s="80">
        <f>78370/2/742.5</f>
        <v>52.774410774410775</v>
      </c>
      <c r="E127" s="182">
        <f>78370/2/742.5</f>
        <v>52.774410774410775</v>
      </c>
      <c r="F127" s="182">
        <f>82680/2/742.5</f>
        <v>55.676767676767675</v>
      </c>
      <c r="G127" s="182">
        <f>81320/2/742.5</f>
        <v>54.760942760942761</v>
      </c>
      <c r="H127" s="134"/>
      <c r="I127" s="137"/>
      <c r="J127" s="159"/>
      <c r="K127" s="138"/>
      <c r="L127" s="138"/>
      <c r="M127" s="138"/>
      <c r="N127" s="138"/>
      <c r="O127" s="139"/>
      <c r="P127" s="147"/>
      <c r="Q127" s="138"/>
      <c r="R127" s="138"/>
      <c r="S127" s="138"/>
      <c r="T127" s="138"/>
      <c r="U127" s="147"/>
      <c r="V127" s="138"/>
      <c r="W127" s="138"/>
      <c r="X127" s="138"/>
      <c r="Y127" s="125"/>
      <c r="Z127" s="138"/>
      <c r="AA127" s="138"/>
      <c r="AB127" s="138"/>
      <c r="AC127" s="139"/>
    </row>
    <row r="128" spans="1:29" s="122" customFormat="1" x14ac:dyDescent="0.25">
      <c r="A128" s="284"/>
      <c r="B128" s="151">
        <v>39131</v>
      </c>
      <c r="C128" s="162" t="s">
        <v>170</v>
      </c>
      <c r="D128" s="80">
        <f>78370/2/742.5</f>
        <v>52.774410774410775</v>
      </c>
      <c r="E128" s="182"/>
      <c r="F128" s="182"/>
      <c r="G128" s="182"/>
      <c r="H128" s="134"/>
      <c r="I128" s="137"/>
      <c r="J128" s="159"/>
      <c r="K128" s="138"/>
      <c r="L128" s="138"/>
      <c r="M128" s="138"/>
      <c r="N128" s="138"/>
      <c r="O128" s="139"/>
      <c r="P128" s="147"/>
      <c r="Q128" s="138"/>
      <c r="R128" s="138"/>
      <c r="S128" s="138"/>
      <c r="T128" s="138"/>
      <c r="U128" s="147"/>
      <c r="V128" s="138"/>
      <c r="W128" s="138"/>
      <c r="X128" s="138"/>
      <c r="Y128" s="125"/>
      <c r="Z128" s="138"/>
      <c r="AA128" s="138"/>
      <c r="AB128" s="138"/>
      <c r="AC128" s="139"/>
    </row>
    <row r="129" spans="1:29" s="122" customFormat="1" x14ac:dyDescent="0.25">
      <c r="A129" s="284"/>
      <c r="B129" s="151">
        <v>39136</v>
      </c>
      <c r="C129" s="163" t="s">
        <v>160</v>
      </c>
      <c r="D129" s="80">
        <f>78370/2/742.5</f>
        <v>52.774410774410775</v>
      </c>
      <c r="E129" s="182">
        <f>78370/2/742.5</f>
        <v>52.774410774410775</v>
      </c>
      <c r="F129" s="182">
        <f>82680/2/742.5</f>
        <v>55.676767676767675</v>
      </c>
      <c r="G129" s="182">
        <f>81320/2/742.5</f>
        <v>54.760942760942761</v>
      </c>
      <c r="H129" s="134"/>
      <c r="I129" s="137"/>
      <c r="J129" s="159"/>
      <c r="K129" s="138"/>
      <c r="L129" s="138"/>
      <c r="M129" s="138"/>
      <c r="N129" s="138"/>
      <c r="O129" s="139"/>
      <c r="P129" s="147"/>
      <c r="Q129" s="138"/>
      <c r="R129" s="138"/>
      <c r="S129" s="138"/>
      <c r="T129" s="138"/>
      <c r="U129" s="147"/>
      <c r="V129" s="138"/>
      <c r="W129" s="138"/>
      <c r="X129" s="138"/>
      <c r="Y129" s="125"/>
      <c r="Z129" s="138"/>
      <c r="AA129" s="138"/>
      <c r="AB129" s="138"/>
      <c r="AC129" s="139"/>
    </row>
    <row r="130" spans="1:29" s="122" customFormat="1" x14ac:dyDescent="0.25">
      <c r="A130" s="284"/>
      <c r="B130" s="151">
        <v>39140</v>
      </c>
      <c r="C130" s="163" t="s">
        <v>161</v>
      </c>
      <c r="D130" s="183"/>
      <c r="E130" s="182"/>
      <c r="F130" s="182"/>
      <c r="G130" s="182">
        <f>81320/2/742.5</f>
        <v>54.760942760942761</v>
      </c>
      <c r="H130" s="134"/>
      <c r="I130" s="137"/>
      <c r="J130" s="159"/>
      <c r="K130" s="138"/>
      <c r="L130" s="138"/>
      <c r="M130" s="138"/>
      <c r="N130" s="138"/>
      <c r="O130" s="139"/>
      <c r="P130" s="147"/>
      <c r="Q130" s="138"/>
      <c r="R130" s="138"/>
      <c r="S130" s="138"/>
      <c r="T130" s="138"/>
      <c r="U130" s="147"/>
      <c r="V130" s="138"/>
      <c r="W130" s="138"/>
      <c r="X130" s="138"/>
      <c r="Y130" s="125"/>
      <c r="Z130" s="138"/>
      <c r="AA130" s="138"/>
      <c r="AB130" s="138"/>
      <c r="AC130" s="139"/>
    </row>
    <row r="131" spans="1:29" s="122" customFormat="1" x14ac:dyDescent="0.25">
      <c r="A131" s="284"/>
      <c r="B131" s="151">
        <v>39140</v>
      </c>
      <c r="C131" s="163" t="s">
        <v>169</v>
      </c>
      <c r="D131" s="183">
        <f>78370/2/738</f>
        <v>53.096205962059621</v>
      </c>
      <c r="E131" s="182">
        <f>78370/2/738</f>
        <v>53.096205962059621</v>
      </c>
      <c r="F131" s="182">
        <f>82680/2/738</f>
        <v>56.016260162601625</v>
      </c>
      <c r="G131" s="182"/>
      <c r="H131" s="134"/>
      <c r="I131" s="137"/>
      <c r="J131" s="159"/>
      <c r="K131" s="138"/>
      <c r="L131" s="138"/>
      <c r="M131" s="138"/>
      <c r="N131" s="138"/>
      <c r="O131" s="139"/>
      <c r="P131" s="147"/>
      <c r="Q131" s="138"/>
      <c r="R131" s="138"/>
      <c r="S131" s="138"/>
      <c r="T131" s="138"/>
      <c r="U131" s="147"/>
      <c r="V131" s="138"/>
      <c r="W131" s="138"/>
      <c r="X131" s="138"/>
      <c r="Y131" s="125"/>
      <c r="Z131" s="138"/>
      <c r="AA131" s="138"/>
      <c r="AB131" s="138"/>
      <c r="AC131" s="139"/>
    </row>
    <row r="132" spans="1:29" s="122" customFormat="1" x14ac:dyDescent="0.25">
      <c r="A132" s="284"/>
      <c r="B132" s="151" t="s">
        <v>96</v>
      </c>
      <c r="C132" s="163" t="s">
        <v>162</v>
      </c>
      <c r="D132" s="183">
        <f>73150/2/738</f>
        <v>49.55962059620596</v>
      </c>
      <c r="E132" s="182">
        <f>73150/2/738</f>
        <v>49.55962059620596</v>
      </c>
      <c r="F132" s="182">
        <f>77170/2/738</f>
        <v>52.28319783197832</v>
      </c>
      <c r="G132" s="134"/>
      <c r="H132" s="134"/>
      <c r="I132" s="137"/>
      <c r="J132" s="159"/>
      <c r="K132" s="138"/>
      <c r="L132" s="138"/>
      <c r="M132" s="138"/>
      <c r="N132" s="138"/>
      <c r="O132" s="139"/>
      <c r="P132" s="147"/>
      <c r="Q132" s="138"/>
      <c r="R132" s="138"/>
      <c r="S132" s="138"/>
      <c r="T132" s="138"/>
      <c r="U132" s="147"/>
      <c r="V132" s="138"/>
      <c r="W132" s="138"/>
      <c r="X132" s="138"/>
      <c r="Y132" s="125"/>
      <c r="Z132" s="138"/>
      <c r="AA132" s="138"/>
      <c r="AB132" s="138"/>
      <c r="AC132" s="139"/>
    </row>
    <row r="133" spans="1:29" s="122" customFormat="1" x14ac:dyDescent="0.25">
      <c r="A133" s="284"/>
      <c r="B133" s="151" t="s">
        <v>96</v>
      </c>
      <c r="C133" s="163" t="s">
        <v>163</v>
      </c>
      <c r="D133" s="80">
        <f>73150/2/738</f>
        <v>49.55962059620596</v>
      </c>
      <c r="E133" s="131"/>
      <c r="F133" s="134"/>
      <c r="G133" s="134"/>
      <c r="H133" s="134"/>
      <c r="I133" s="137"/>
      <c r="J133" s="159"/>
      <c r="K133" s="138"/>
      <c r="L133" s="138"/>
      <c r="M133" s="138"/>
      <c r="N133" s="138"/>
      <c r="O133" s="139"/>
      <c r="P133" s="147"/>
      <c r="Q133" s="138"/>
      <c r="R133" s="138"/>
      <c r="S133" s="138"/>
      <c r="T133" s="138"/>
      <c r="U133" s="147"/>
      <c r="V133" s="138"/>
      <c r="W133" s="138"/>
      <c r="X133" s="138"/>
      <c r="Y133" s="125"/>
      <c r="Z133" s="138"/>
      <c r="AA133" s="138"/>
      <c r="AB133" s="138"/>
      <c r="AC133" s="139"/>
    </row>
    <row r="134" spans="1:29" s="122" customFormat="1" x14ac:dyDescent="0.25">
      <c r="A134" s="284"/>
      <c r="B134" s="151" t="s">
        <v>105</v>
      </c>
      <c r="C134" s="163" t="s">
        <v>124</v>
      </c>
      <c r="D134" s="80">
        <f>73150/2/738</f>
        <v>49.55962059620596</v>
      </c>
      <c r="E134" s="182">
        <f>73150/2/738</f>
        <v>49.55962059620596</v>
      </c>
      <c r="F134" s="182"/>
      <c r="G134" s="134"/>
      <c r="H134" s="134"/>
      <c r="I134" s="137"/>
      <c r="J134" s="159"/>
      <c r="K134" s="138"/>
      <c r="L134" s="138"/>
      <c r="M134" s="138"/>
      <c r="N134" s="138"/>
      <c r="O134" s="139"/>
      <c r="P134" s="147"/>
      <c r="Q134" s="138"/>
      <c r="R134" s="138"/>
      <c r="S134" s="138"/>
      <c r="T134" s="138"/>
      <c r="U134" s="147"/>
      <c r="V134" s="138"/>
      <c r="W134" s="138"/>
      <c r="X134" s="138"/>
      <c r="Y134" s="125"/>
      <c r="Z134" s="138"/>
      <c r="AA134" s="138"/>
      <c r="AB134" s="138"/>
      <c r="AC134" s="139"/>
    </row>
    <row r="135" spans="1:29" s="122" customFormat="1" ht="15.75" thickBot="1" x14ac:dyDescent="0.3">
      <c r="A135" s="284"/>
      <c r="B135" s="151" t="s">
        <v>105</v>
      </c>
      <c r="C135" s="163" t="s">
        <v>123</v>
      </c>
      <c r="D135" s="80">
        <f>73150/2/738</f>
        <v>49.55962059620596</v>
      </c>
      <c r="E135" s="182"/>
      <c r="F135" s="134"/>
      <c r="G135" s="134"/>
      <c r="H135" s="134"/>
      <c r="I135" s="137"/>
      <c r="J135" s="159"/>
      <c r="K135" s="138"/>
      <c r="L135" s="138"/>
      <c r="M135" s="138"/>
      <c r="N135" s="138"/>
      <c r="O135" s="139"/>
      <c r="P135" s="147"/>
      <c r="Q135" s="138"/>
      <c r="R135" s="138"/>
      <c r="S135" s="138"/>
      <c r="T135" s="138"/>
      <c r="U135" s="147"/>
      <c r="V135" s="138"/>
      <c r="W135" s="138"/>
      <c r="X135" s="138"/>
      <c r="Y135" s="125"/>
      <c r="Z135" s="138"/>
      <c r="AA135" s="138"/>
      <c r="AB135" s="138"/>
      <c r="AC135" s="139"/>
    </row>
    <row r="136" spans="1:29" s="122" customFormat="1" ht="15" hidden="1" customHeight="1" x14ac:dyDescent="0.3">
      <c r="A136" s="100"/>
      <c r="B136" s="155">
        <v>37661</v>
      </c>
      <c r="C136" s="156" t="s">
        <v>136</v>
      </c>
      <c r="D136" s="168"/>
      <c r="E136" s="169"/>
      <c r="F136" s="170"/>
      <c r="G136" s="170">
        <f>55910/2/830.2</f>
        <v>33.672609009877135</v>
      </c>
      <c r="H136" s="170"/>
      <c r="I136" s="171"/>
      <c r="J136" s="103"/>
      <c r="K136" s="101"/>
      <c r="L136" s="101"/>
      <c r="M136" s="101"/>
      <c r="N136" s="101"/>
      <c r="O136" s="102"/>
      <c r="P136" s="104"/>
      <c r="Q136" s="164"/>
      <c r="R136" s="164"/>
      <c r="S136" s="164"/>
      <c r="T136" s="164"/>
      <c r="U136" s="166"/>
      <c r="V136" s="164"/>
      <c r="W136" s="164"/>
      <c r="X136" s="164"/>
      <c r="Y136" s="167"/>
      <c r="Z136" s="164"/>
      <c r="AA136" s="164"/>
      <c r="AB136" s="164"/>
      <c r="AC136" s="165"/>
    </row>
    <row r="137" spans="1:29" s="122" customFormat="1" ht="15" customHeight="1" x14ac:dyDescent="0.25">
      <c r="A137" s="287" t="s">
        <v>171</v>
      </c>
      <c r="B137" s="194">
        <v>39122</v>
      </c>
      <c r="C137" s="196" t="s">
        <v>172</v>
      </c>
      <c r="D137" s="9">
        <f>78370/2/742.5</f>
        <v>52.774410774410775</v>
      </c>
      <c r="E137" s="7">
        <f>78370/2/742.5</f>
        <v>52.774410774410775</v>
      </c>
      <c r="F137" s="7">
        <f>82680/2/742.5</f>
        <v>55.676767676767675</v>
      </c>
      <c r="G137" s="7">
        <f>81320/2/742.5</f>
        <v>54.760942760942761</v>
      </c>
      <c r="H137" s="26"/>
      <c r="I137" s="27"/>
      <c r="J137" s="199"/>
      <c r="K137" s="26"/>
      <c r="L137" s="26"/>
      <c r="M137" s="26"/>
      <c r="N137" s="26"/>
      <c r="O137" s="200"/>
      <c r="P137" s="144"/>
      <c r="Q137" s="135"/>
      <c r="R137" s="135"/>
      <c r="S137" s="135"/>
      <c r="T137" s="205"/>
      <c r="U137" s="144"/>
      <c r="V137" s="135"/>
      <c r="W137" s="135"/>
      <c r="X137" s="135"/>
      <c r="Y137" s="123"/>
      <c r="Z137" s="25"/>
      <c r="AA137" s="135"/>
      <c r="AB137" s="135"/>
      <c r="AC137" s="136"/>
    </row>
    <row r="138" spans="1:29" s="122" customFormat="1" x14ac:dyDescent="0.25">
      <c r="A138" s="283"/>
      <c r="B138" s="151">
        <v>39126</v>
      </c>
      <c r="C138" s="127" t="s">
        <v>142</v>
      </c>
      <c r="D138" s="43">
        <f>78370/2/742.5</f>
        <v>52.774410774410775</v>
      </c>
      <c r="E138" s="14">
        <f>78370/2/742.5</f>
        <v>52.774410774410775</v>
      </c>
      <c r="F138" s="14">
        <f>82680/2/742.5</f>
        <v>55.676767676767675</v>
      </c>
      <c r="G138" s="28">
        <f>81320/2/843.75</f>
        <v>48.189629629629628</v>
      </c>
      <c r="H138" s="28"/>
      <c r="I138" s="29"/>
      <c r="J138" s="30"/>
      <c r="K138" s="28"/>
      <c r="L138" s="28"/>
      <c r="M138" s="28"/>
      <c r="N138" s="28"/>
      <c r="O138" s="184"/>
      <c r="P138" s="202"/>
      <c r="Q138" s="6"/>
      <c r="R138" s="6"/>
      <c r="S138" s="6"/>
      <c r="T138" s="112"/>
      <c r="U138" s="202"/>
      <c r="V138" s="6"/>
      <c r="W138" s="6"/>
      <c r="X138" s="6"/>
      <c r="Y138" s="124"/>
      <c r="Z138" s="207"/>
      <c r="AA138" s="6"/>
      <c r="AB138" s="6"/>
      <c r="AC138" s="124"/>
    </row>
    <row r="139" spans="1:29" s="122" customFormat="1" x14ac:dyDescent="0.25">
      <c r="A139" s="283"/>
      <c r="B139" s="151">
        <v>42050</v>
      </c>
      <c r="C139" s="127" t="s">
        <v>175</v>
      </c>
      <c r="D139" s="43"/>
      <c r="E139" s="14"/>
      <c r="F139" s="14"/>
      <c r="G139" s="28">
        <f>81320/2/843.75</f>
        <v>48.189629629629628</v>
      </c>
      <c r="H139" s="14">
        <f>84330/2/843.75</f>
        <v>49.973333333333336</v>
      </c>
      <c r="I139" s="29"/>
      <c r="J139" s="30"/>
      <c r="K139" s="28"/>
      <c r="L139" s="28"/>
      <c r="M139" s="28"/>
      <c r="N139" s="28"/>
      <c r="O139" s="184"/>
      <c r="P139" s="202"/>
      <c r="Q139" s="6"/>
      <c r="R139" s="6"/>
      <c r="S139" s="6"/>
      <c r="T139" s="112"/>
      <c r="U139" s="202"/>
      <c r="V139" s="6"/>
      <c r="W139" s="6"/>
      <c r="X139" s="6"/>
      <c r="Y139" s="124"/>
      <c r="Z139" s="207"/>
      <c r="AA139" s="6"/>
      <c r="AB139" s="6"/>
      <c r="AC139" s="124"/>
    </row>
    <row r="140" spans="1:29" s="67" customFormat="1" ht="18.75" x14ac:dyDescent="0.3">
      <c r="A140" s="283"/>
      <c r="B140" s="151">
        <v>39493</v>
      </c>
      <c r="C140" s="150" t="s">
        <v>134</v>
      </c>
      <c r="D140" s="132"/>
      <c r="E140" s="14"/>
      <c r="F140" s="14">
        <f>82680/2/823.5</f>
        <v>50.200364298724956</v>
      </c>
      <c r="G140" s="28"/>
      <c r="H140" s="28"/>
      <c r="I140" s="29"/>
      <c r="J140" s="30"/>
      <c r="K140" s="28"/>
      <c r="L140" s="28"/>
      <c r="M140" s="28"/>
      <c r="N140" s="28"/>
      <c r="O140" s="184"/>
      <c r="P140" s="203"/>
      <c r="Q140" s="201"/>
      <c r="R140" s="201"/>
      <c r="S140" s="201"/>
      <c r="T140" s="206"/>
      <c r="U140" s="203"/>
      <c r="V140" s="201"/>
      <c r="W140" s="201"/>
      <c r="X140" s="201"/>
      <c r="Y140" s="204"/>
      <c r="Z140" s="208"/>
      <c r="AA140" s="201"/>
      <c r="AB140" s="201"/>
      <c r="AC140" s="204"/>
    </row>
    <row r="141" spans="1:29" s="67" customFormat="1" ht="16.5" customHeight="1" x14ac:dyDescent="0.3">
      <c r="A141" s="283"/>
      <c r="B141" s="151">
        <v>39859</v>
      </c>
      <c r="C141" s="127" t="s">
        <v>173</v>
      </c>
      <c r="D141" s="132">
        <f t="shared" ref="D141:E142" si="3">78370/2/742.5</f>
        <v>52.774410774410775</v>
      </c>
      <c r="E141" s="14">
        <f t="shared" si="3"/>
        <v>52.774410774410775</v>
      </c>
      <c r="F141" s="14">
        <f>82680/2/742.5</f>
        <v>55.676767676767675</v>
      </c>
      <c r="G141" s="14">
        <f>81320/2/742.5</f>
        <v>54.760942760942761</v>
      </c>
      <c r="H141" s="28"/>
      <c r="I141" s="29"/>
      <c r="J141" s="30"/>
      <c r="K141" s="28"/>
      <c r="L141" s="28"/>
      <c r="M141" s="28"/>
      <c r="N141" s="28"/>
      <c r="O141" s="184"/>
      <c r="P141" s="203"/>
      <c r="Q141" s="201"/>
      <c r="R141" s="201"/>
      <c r="S141" s="201"/>
      <c r="T141" s="206"/>
      <c r="U141" s="203"/>
      <c r="V141" s="201"/>
      <c r="W141" s="201"/>
      <c r="X141" s="201"/>
      <c r="Y141" s="204"/>
      <c r="Z141" s="208"/>
      <c r="AA141" s="201"/>
      <c r="AB141" s="201"/>
      <c r="AC141" s="204"/>
    </row>
    <row r="142" spans="1:29" s="67" customFormat="1" ht="18.75" x14ac:dyDescent="0.3">
      <c r="A142" s="290"/>
      <c r="B142" s="151">
        <v>40224</v>
      </c>
      <c r="C142" s="127" t="s">
        <v>174</v>
      </c>
      <c r="D142" s="132">
        <f t="shared" si="3"/>
        <v>52.774410774410775</v>
      </c>
      <c r="E142" s="14">
        <f t="shared" si="3"/>
        <v>52.774410774410775</v>
      </c>
      <c r="F142" s="14">
        <f>82680/2/742.5</f>
        <v>55.676767676767675</v>
      </c>
      <c r="G142" s="14">
        <f>81320/2/742.5</f>
        <v>54.760942760942761</v>
      </c>
      <c r="H142" s="28"/>
      <c r="I142" s="29"/>
      <c r="J142" s="30"/>
      <c r="K142" s="28"/>
      <c r="L142" s="28"/>
      <c r="M142" s="28"/>
      <c r="N142" s="28"/>
      <c r="O142" s="70"/>
      <c r="P142" s="203"/>
      <c r="Q142" s="201"/>
      <c r="R142" s="201"/>
      <c r="S142" s="201"/>
      <c r="T142" s="206"/>
      <c r="U142" s="203"/>
      <c r="V142" s="201"/>
      <c r="W142" s="201"/>
      <c r="X142" s="201"/>
      <c r="Y142" s="204"/>
      <c r="Z142" s="208"/>
      <c r="AA142" s="201"/>
      <c r="AB142" s="201"/>
      <c r="AC142" s="204"/>
    </row>
    <row r="143" spans="1:29" s="67" customFormat="1" ht="18.75" x14ac:dyDescent="0.3">
      <c r="A143" s="290"/>
      <c r="B143" s="151">
        <v>42415</v>
      </c>
      <c r="C143" s="150" t="s">
        <v>134</v>
      </c>
      <c r="D143" s="43">
        <f>78370/2/823.5</f>
        <v>47.58348512446873</v>
      </c>
      <c r="E143" s="14">
        <f>78370/2/823.5</f>
        <v>47.58348512446873</v>
      </c>
      <c r="F143" s="28"/>
      <c r="G143" s="28"/>
      <c r="H143" s="28"/>
      <c r="I143" s="29"/>
      <c r="J143" s="30"/>
      <c r="K143" s="28"/>
      <c r="L143" s="28"/>
      <c r="M143" s="28"/>
      <c r="N143" s="28"/>
      <c r="O143" s="71"/>
      <c r="P143" s="203"/>
      <c r="Q143" s="201"/>
      <c r="R143" s="201"/>
      <c r="S143" s="201"/>
      <c r="T143" s="206"/>
      <c r="U143" s="203"/>
      <c r="V143" s="201"/>
      <c r="W143" s="201"/>
      <c r="X143" s="201"/>
      <c r="Y143" s="204"/>
      <c r="Z143" s="208"/>
      <c r="AA143" s="201"/>
      <c r="AB143" s="201"/>
      <c r="AC143" s="204"/>
    </row>
    <row r="144" spans="1:29" s="67" customFormat="1" ht="19.5" thickBot="1" x14ac:dyDescent="0.35">
      <c r="A144" s="290"/>
      <c r="B144" s="151">
        <v>43517</v>
      </c>
      <c r="C144" s="127" t="s">
        <v>176</v>
      </c>
      <c r="D144" s="132"/>
      <c r="E144" s="13"/>
      <c r="F144" s="13">
        <f>82680/2/661.5</f>
        <v>62.494331065759638</v>
      </c>
      <c r="G144" s="37"/>
      <c r="H144" s="37"/>
      <c r="I144" s="38"/>
      <c r="J144" s="209"/>
      <c r="K144" s="37"/>
      <c r="L144" s="37"/>
      <c r="M144" s="37"/>
      <c r="N144" s="37"/>
      <c r="O144" s="71"/>
      <c r="P144" s="210"/>
      <c r="Q144" s="211"/>
      <c r="R144" s="211"/>
      <c r="S144" s="211"/>
      <c r="T144" s="212"/>
      <c r="U144" s="210"/>
      <c r="V144" s="211"/>
      <c r="W144" s="211"/>
      <c r="X144" s="211"/>
      <c r="Y144" s="213"/>
      <c r="Z144" s="214"/>
      <c r="AA144" s="211"/>
      <c r="AB144" s="211"/>
      <c r="AC144" s="213"/>
    </row>
    <row r="145" spans="1:29" x14ac:dyDescent="0.25">
      <c r="A145" s="287" t="s">
        <v>177</v>
      </c>
      <c r="B145" s="237" t="s">
        <v>178</v>
      </c>
      <c r="C145" s="346" t="s">
        <v>179</v>
      </c>
      <c r="D145" s="256">
        <f>78370/1476</f>
        <v>53.096205962059621</v>
      </c>
      <c r="E145" s="219">
        <f>78370/1476</f>
        <v>53.096205962059621</v>
      </c>
      <c r="F145" s="219">
        <f>82680/1674</f>
        <v>49.390681003584227</v>
      </c>
      <c r="G145" s="219"/>
      <c r="H145" s="219"/>
      <c r="I145" s="220"/>
      <c r="J145" s="9"/>
      <c r="K145" s="7"/>
      <c r="L145" s="7"/>
      <c r="M145" s="7"/>
      <c r="N145" s="7"/>
      <c r="O145" s="8"/>
      <c r="P145" s="231"/>
      <c r="Q145" s="232"/>
      <c r="R145" s="232"/>
      <c r="S145" s="232"/>
      <c r="T145" s="123"/>
      <c r="U145" s="231"/>
      <c r="V145" s="232"/>
      <c r="W145" s="232"/>
      <c r="X145" s="232"/>
      <c r="Y145" s="123"/>
      <c r="Z145" s="231"/>
      <c r="AA145" s="232"/>
      <c r="AB145" s="232"/>
      <c r="AC145" s="123"/>
    </row>
    <row r="146" spans="1:29" x14ac:dyDescent="0.25">
      <c r="A146" s="283"/>
      <c r="B146" s="238" t="s">
        <v>190</v>
      </c>
      <c r="C146" s="59" t="s">
        <v>224</v>
      </c>
      <c r="D146" s="236">
        <f>84400/1476</f>
        <v>57.181571815718158</v>
      </c>
      <c r="E146" s="216">
        <f>88190/1476</f>
        <v>59.74932249322493</v>
      </c>
      <c r="F146" s="217"/>
      <c r="G146" s="218"/>
      <c r="H146" s="218"/>
      <c r="I146" s="222"/>
      <c r="J146" s="22"/>
      <c r="K146" s="20"/>
      <c r="L146" s="13"/>
      <c r="M146" s="20"/>
      <c r="N146" s="20"/>
      <c r="O146" s="21"/>
      <c r="P146" s="202"/>
      <c r="Q146" s="6"/>
      <c r="R146" s="6"/>
      <c r="S146" s="6"/>
      <c r="T146" s="124"/>
      <c r="U146" s="202"/>
      <c r="V146" s="6"/>
      <c r="W146" s="6"/>
      <c r="X146" s="6"/>
      <c r="Y146" s="124"/>
      <c r="Z146" s="202"/>
      <c r="AA146" s="6"/>
      <c r="AB146" s="6"/>
      <c r="AC146" s="124"/>
    </row>
    <row r="147" spans="1:29" x14ac:dyDescent="0.25">
      <c r="A147" s="283"/>
      <c r="B147" s="238" t="s">
        <v>96</v>
      </c>
      <c r="C147" s="347" t="s">
        <v>180</v>
      </c>
      <c r="D147" s="236">
        <f t="shared" ref="D147:E150" si="4">73150/1476</f>
        <v>49.55962059620596</v>
      </c>
      <c r="E147" s="257">
        <f t="shared" si="4"/>
        <v>49.55962059620596</v>
      </c>
      <c r="F147" s="258">
        <f>77170/1476</f>
        <v>52.28319783197832</v>
      </c>
      <c r="G147" s="218"/>
      <c r="H147" s="218"/>
      <c r="I147" s="222"/>
      <c r="J147" s="22"/>
      <c r="K147" s="20"/>
      <c r="L147" s="145"/>
      <c r="M147" s="20"/>
      <c r="N147" s="20"/>
      <c r="O147" s="21"/>
      <c r="P147" s="202"/>
      <c r="Q147" s="6"/>
      <c r="R147" s="6"/>
      <c r="S147" s="6"/>
      <c r="T147" s="124"/>
      <c r="U147" s="202"/>
      <c r="V147" s="6"/>
      <c r="W147" s="6"/>
      <c r="X147" s="6"/>
      <c r="Y147" s="124"/>
      <c r="Z147" s="202"/>
      <c r="AA147" s="6"/>
      <c r="AB147" s="6"/>
      <c r="AC147" s="124"/>
    </row>
    <row r="148" spans="1:29" x14ac:dyDescent="0.25">
      <c r="A148" s="283"/>
      <c r="B148" s="239" t="s">
        <v>191</v>
      </c>
      <c r="C148" s="347" t="s">
        <v>192</v>
      </c>
      <c r="D148" s="236">
        <f t="shared" si="4"/>
        <v>49.55962059620596</v>
      </c>
      <c r="E148" s="223">
        <f t="shared" si="4"/>
        <v>49.55962059620596</v>
      </c>
      <c r="F148" s="258">
        <f>77170/1476</f>
        <v>52.28319783197832</v>
      </c>
      <c r="G148" s="218"/>
      <c r="H148" s="218"/>
      <c r="I148" s="222"/>
      <c r="J148" s="22">
        <f>30000/932</f>
        <v>32.188841201716741</v>
      </c>
      <c r="K148" s="20">
        <f>21940/860</f>
        <v>25.511627906976745</v>
      </c>
      <c r="L148" s="259">
        <f>23140/1134</f>
        <v>20.405643738977073</v>
      </c>
      <c r="M148" s="20"/>
      <c r="N148" s="20"/>
      <c r="O148" s="21"/>
      <c r="P148" s="202"/>
      <c r="Q148" s="6"/>
      <c r="R148" s="6"/>
      <c r="S148" s="6"/>
      <c r="T148" s="124"/>
      <c r="U148" s="202"/>
      <c r="V148" s="6"/>
      <c r="W148" s="6"/>
      <c r="X148" s="6"/>
      <c r="Y148" s="124"/>
      <c r="Z148" s="202"/>
      <c r="AA148" s="6"/>
      <c r="AB148" s="6"/>
      <c r="AC148" s="124"/>
    </row>
    <row r="149" spans="1:29" x14ac:dyDescent="0.25">
      <c r="A149" s="283"/>
      <c r="B149" s="239" t="s">
        <v>181</v>
      </c>
      <c r="C149" s="59" t="s">
        <v>193</v>
      </c>
      <c r="D149" s="236">
        <f t="shared" si="4"/>
        <v>49.55962059620596</v>
      </c>
      <c r="E149" s="218">
        <f t="shared" si="4"/>
        <v>49.55962059620596</v>
      </c>
      <c r="F149" s="218">
        <f>77170/1476</f>
        <v>52.28319783197832</v>
      </c>
      <c r="G149" s="218"/>
      <c r="H149" s="218"/>
      <c r="I149" s="222"/>
      <c r="J149" s="22"/>
      <c r="K149" s="20"/>
      <c r="L149" s="20"/>
      <c r="M149" s="20"/>
      <c r="N149" s="20"/>
      <c r="O149" s="21"/>
      <c r="P149" s="202"/>
      <c r="Q149" s="6"/>
      <c r="R149" s="6"/>
      <c r="S149" s="6"/>
      <c r="T149" s="124"/>
      <c r="U149" s="202"/>
      <c r="V149" s="6"/>
      <c r="W149" s="6"/>
      <c r="X149" s="6"/>
      <c r="Y149" s="124"/>
      <c r="Z149" s="202"/>
      <c r="AA149" s="6"/>
      <c r="AB149" s="6"/>
      <c r="AC149" s="124"/>
    </row>
    <row r="150" spans="1:29" x14ac:dyDescent="0.25">
      <c r="A150" s="283"/>
      <c r="B150" s="239" t="s">
        <v>105</v>
      </c>
      <c r="C150" s="348" t="s">
        <v>194</v>
      </c>
      <c r="D150" s="236">
        <f>73150/1476</f>
        <v>49.55962059620596</v>
      </c>
      <c r="E150" s="218">
        <f t="shared" si="4"/>
        <v>49.55962059620596</v>
      </c>
      <c r="F150" s="218">
        <f>77170/1476</f>
        <v>52.28319783197832</v>
      </c>
      <c r="G150" s="218"/>
      <c r="H150" s="218"/>
      <c r="I150" s="222"/>
      <c r="J150" s="22"/>
      <c r="K150" s="20"/>
      <c r="L150" s="20"/>
      <c r="M150" s="20"/>
      <c r="N150" s="20"/>
      <c r="O150" s="21"/>
      <c r="P150" s="202"/>
      <c r="Q150" s="6"/>
      <c r="R150" s="6"/>
      <c r="S150" s="6"/>
      <c r="T150" s="124"/>
      <c r="U150" s="202"/>
      <c r="V150" s="6"/>
      <c r="W150" s="6"/>
      <c r="X150" s="6"/>
      <c r="Y150" s="124"/>
      <c r="Z150" s="202"/>
      <c r="AA150" s="6"/>
      <c r="AB150" s="6"/>
      <c r="AC150" s="124"/>
    </row>
    <row r="151" spans="1:29" x14ac:dyDescent="0.25">
      <c r="A151" s="283"/>
      <c r="B151" s="260" t="s">
        <v>105</v>
      </c>
      <c r="C151" s="349" t="s">
        <v>220</v>
      </c>
      <c r="D151" s="261">
        <f>73150/1476</f>
        <v>49.55962059620596</v>
      </c>
      <c r="E151" s="223">
        <f>73150/1476</f>
        <v>49.55962059620596</v>
      </c>
      <c r="F151" s="262"/>
      <c r="G151" s="218"/>
      <c r="H151" s="218"/>
      <c r="I151" s="222"/>
      <c r="J151" s="22"/>
      <c r="K151" s="20"/>
      <c r="L151" s="20"/>
      <c r="M151" s="20"/>
      <c r="N151" s="20"/>
      <c r="O151" s="21"/>
      <c r="P151" s="202"/>
      <c r="Q151" s="6"/>
      <c r="R151" s="6"/>
      <c r="S151" s="6"/>
      <c r="T151" s="124"/>
      <c r="U151" s="202"/>
      <c r="V151" s="6"/>
      <c r="W151" s="6"/>
      <c r="X151" s="6"/>
      <c r="Y151" s="124"/>
      <c r="Z151" s="202"/>
      <c r="AA151" s="6"/>
      <c r="AB151" s="6"/>
      <c r="AC151" s="124"/>
    </row>
    <row r="152" spans="1:29" ht="49.5" customHeight="1" x14ac:dyDescent="0.25">
      <c r="A152" s="283"/>
      <c r="B152" s="263" t="s">
        <v>214</v>
      </c>
      <c r="C152" s="350" t="s">
        <v>225</v>
      </c>
      <c r="D152" s="261">
        <f>73150/1476</f>
        <v>49.55962059620596</v>
      </c>
      <c r="E152" s="262"/>
      <c r="F152" s="262"/>
      <c r="G152" s="224"/>
      <c r="H152" s="218"/>
      <c r="I152" s="222"/>
      <c r="J152" s="22"/>
      <c r="K152" s="20"/>
      <c r="L152" s="20"/>
      <c r="M152" s="20"/>
      <c r="N152" s="20"/>
      <c r="O152" s="21"/>
      <c r="P152" s="202"/>
      <c r="Q152" s="6"/>
      <c r="R152" s="6"/>
      <c r="S152" s="6"/>
      <c r="T152" s="124"/>
      <c r="U152" s="202"/>
      <c r="V152" s="6"/>
      <c r="W152" s="6"/>
      <c r="X152" s="6"/>
      <c r="Y152" s="124"/>
      <c r="Z152" s="202"/>
      <c r="AA152" s="6"/>
      <c r="AB152" s="6"/>
      <c r="AC152" s="124"/>
    </row>
    <row r="153" spans="1:29" x14ac:dyDescent="0.25">
      <c r="A153" s="283"/>
      <c r="B153" s="238" t="s">
        <v>195</v>
      </c>
      <c r="C153" s="77" t="s">
        <v>223</v>
      </c>
      <c r="D153" s="236">
        <f>73150/1476</f>
        <v>49.55962059620596</v>
      </c>
      <c r="E153" s="216">
        <f>73150/1476</f>
        <v>49.55962059620596</v>
      </c>
      <c r="F153" s="216"/>
      <c r="G153" s="216"/>
      <c r="H153" s="216"/>
      <c r="I153" s="235"/>
      <c r="J153" s="132"/>
      <c r="K153" s="14"/>
      <c r="L153" s="14"/>
      <c r="M153" s="14"/>
      <c r="N153" s="14"/>
      <c r="O153" s="15"/>
      <c r="P153" s="202"/>
      <c r="Q153" s="6"/>
      <c r="R153" s="6"/>
      <c r="S153" s="6"/>
      <c r="T153" s="124"/>
      <c r="U153" s="202"/>
      <c r="V153" s="6"/>
      <c r="W153" s="6"/>
      <c r="X153" s="6"/>
      <c r="Y153" s="124"/>
      <c r="Z153" s="202"/>
      <c r="AA153" s="6"/>
      <c r="AB153" s="6"/>
      <c r="AC153" s="124"/>
    </row>
    <row r="154" spans="1:29" x14ac:dyDescent="0.25">
      <c r="A154" s="283"/>
      <c r="B154" s="240">
        <v>36931</v>
      </c>
      <c r="C154" s="348" t="s">
        <v>196</v>
      </c>
      <c r="D154" s="236">
        <f>78370/1476</f>
        <v>53.096205962059621</v>
      </c>
      <c r="E154" s="216">
        <f>78370/1476</f>
        <v>53.096205962059621</v>
      </c>
      <c r="F154" s="216"/>
      <c r="G154" s="225"/>
      <c r="H154" s="225"/>
      <c r="I154" s="226"/>
      <c r="J154" s="30"/>
      <c r="K154" s="28"/>
      <c r="L154" s="28"/>
      <c r="M154" s="28"/>
      <c r="N154" s="28"/>
      <c r="O154" s="29"/>
      <c r="P154" s="202"/>
      <c r="Q154" s="6"/>
      <c r="R154" s="6"/>
      <c r="S154" s="6"/>
      <c r="T154" s="124"/>
      <c r="U154" s="202"/>
      <c r="V154" s="6"/>
      <c r="W154" s="6"/>
      <c r="X154" s="6"/>
      <c r="Y154" s="124"/>
      <c r="Z154" s="202"/>
      <c r="AA154" s="6"/>
      <c r="AB154" s="6"/>
      <c r="AC154" s="124"/>
    </row>
    <row r="155" spans="1:29" x14ac:dyDescent="0.25">
      <c r="A155" s="288"/>
      <c r="B155" s="240">
        <v>38757</v>
      </c>
      <c r="C155" s="351" t="s">
        <v>197</v>
      </c>
      <c r="D155" s="236">
        <f>78370/1476</f>
        <v>53.096205962059621</v>
      </c>
      <c r="E155" s="216">
        <f>78370/1476</f>
        <v>53.096205962059621</v>
      </c>
      <c r="F155" s="216">
        <f>82680/1512</f>
        <v>54.682539682539684</v>
      </c>
      <c r="G155" s="216">
        <f>81320/1476</f>
        <v>55.094850948509482</v>
      </c>
      <c r="H155" s="225"/>
      <c r="I155" s="226"/>
      <c r="J155" s="185"/>
      <c r="K155" s="28"/>
      <c r="L155" s="28"/>
      <c r="M155" s="28"/>
      <c r="N155" s="28"/>
      <c r="O155" s="29"/>
      <c r="P155" s="202"/>
      <c r="Q155" s="6"/>
      <c r="R155" s="6"/>
      <c r="S155" s="6"/>
      <c r="T155" s="124"/>
      <c r="U155" s="202"/>
      <c r="V155" s="6"/>
      <c r="W155" s="6"/>
      <c r="X155" s="6"/>
      <c r="Y155" s="124"/>
      <c r="Z155" s="202"/>
      <c r="AA155" s="6"/>
      <c r="AB155" s="6"/>
      <c r="AC155" s="124"/>
    </row>
    <row r="156" spans="1:29" x14ac:dyDescent="0.25">
      <c r="A156" s="288"/>
      <c r="B156" s="240">
        <v>38757</v>
      </c>
      <c r="C156" s="351" t="s">
        <v>226</v>
      </c>
      <c r="D156" s="236"/>
      <c r="E156" s="216">
        <f>78370/1476</f>
        <v>53.096205962059621</v>
      </c>
      <c r="F156" s="216">
        <f>82680/1512</f>
        <v>54.682539682539684</v>
      </c>
      <c r="G156" s="216">
        <f>81320/1482</f>
        <v>54.871794871794869</v>
      </c>
      <c r="H156" s="225"/>
      <c r="I156" s="226"/>
      <c r="J156" s="185"/>
      <c r="K156" s="28"/>
      <c r="L156" s="28"/>
      <c r="M156" s="28"/>
      <c r="N156" s="28"/>
      <c r="O156" s="29"/>
      <c r="P156" s="202"/>
      <c r="Q156" s="6"/>
      <c r="R156" s="6"/>
      <c r="S156" s="6"/>
      <c r="T156" s="124"/>
      <c r="U156" s="202"/>
      <c r="V156" s="6"/>
      <c r="W156" s="6"/>
      <c r="X156" s="6"/>
      <c r="Y156" s="124"/>
      <c r="Z156" s="202"/>
      <c r="AA156" s="6"/>
      <c r="AB156" s="6"/>
      <c r="AC156" s="124"/>
    </row>
    <row r="157" spans="1:29" x14ac:dyDescent="0.25">
      <c r="A157" s="288"/>
      <c r="B157" s="240">
        <v>39122</v>
      </c>
      <c r="C157" s="348" t="s">
        <v>138</v>
      </c>
      <c r="D157" s="236">
        <f>78370/1476</f>
        <v>53.096205962059621</v>
      </c>
      <c r="E157" s="216">
        <f>78370/1512</f>
        <v>51.832010582010582</v>
      </c>
      <c r="F157" s="254">
        <f>82680/1476</f>
        <v>56.016260162601625</v>
      </c>
      <c r="G157" s="216"/>
      <c r="H157" s="225"/>
      <c r="I157" s="226"/>
      <c r="J157" s="185"/>
      <c r="K157" s="28"/>
      <c r="L157" s="28"/>
      <c r="M157" s="28"/>
      <c r="N157" s="28"/>
      <c r="O157" s="29"/>
      <c r="P157" s="202"/>
      <c r="Q157" s="6"/>
      <c r="R157" s="6"/>
      <c r="S157" s="6"/>
      <c r="T157" s="124"/>
      <c r="U157" s="202"/>
      <c r="V157" s="6"/>
      <c r="W157" s="6"/>
      <c r="X157" s="6"/>
      <c r="Y157" s="124"/>
      <c r="Z157" s="202"/>
      <c r="AA157" s="6"/>
      <c r="AB157" s="6"/>
      <c r="AC157" s="124"/>
    </row>
    <row r="158" spans="1:29" x14ac:dyDescent="0.25">
      <c r="A158" s="288"/>
      <c r="B158" s="240">
        <v>39122</v>
      </c>
      <c r="C158" s="348" t="s">
        <v>137</v>
      </c>
      <c r="D158" s="236">
        <f>78370/1476</f>
        <v>53.096205962059621</v>
      </c>
      <c r="E158" s="216">
        <f>78370/1476</f>
        <v>53.096205962059621</v>
      </c>
      <c r="F158" s="221">
        <f>82680/1512</f>
        <v>54.682539682539684</v>
      </c>
      <c r="G158" s="216">
        <f>81320/1476</f>
        <v>55.094850948509482</v>
      </c>
      <c r="H158" s="225"/>
      <c r="I158" s="226"/>
      <c r="J158" s="30"/>
      <c r="K158" s="28"/>
      <c r="L158" s="28"/>
      <c r="M158" s="28"/>
      <c r="N158" s="28"/>
      <c r="O158" s="29"/>
      <c r="P158" s="202"/>
      <c r="Q158" s="6"/>
      <c r="R158" s="6"/>
      <c r="S158" s="6"/>
      <c r="T158" s="124"/>
      <c r="U158" s="202"/>
      <c r="V158" s="6"/>
      <c r="W158" s="6"/>
      <c r="X158" s="6"/>
      <c r="Y158" s="124"/>
      <c r="Z158" s="202"/>
      <c r="AA158" s="6"/>
      <c r="AB158" s="6"/>
      <c r="AC158" s="124"/>
    </row>
    <row r="159" spans="1:29" x14ac:dyDescent="0.25">
      <c r="A159" s="288"/>
      <c r="B159" s="240">
        <v>39122</v>
      </c>
      <c r="C159" s="348" t="s">
        <v>221</v>
      </c>
      <c r="D159" s="236"/>
      <c r="E159" s="216">
        <f>78370/1476</f>
        <v>53.096205962059621</v>
      </c>
      <c r="F159" s="221">
        <f>82680/1512</f>
        <v>54.682539682539684</v>
      </c>
      <c r="G159" s="216">
        <f>81320/1468</f>
        <v>55.395095367847411</v>
      </c>
      <c r="H159" s="225"/>
      <c r="I159" s="226"/>
      <c r="J159" s="30"/>
      <c r="K159" s="28"/>
      <c r="L159" s="28"/>
      <c r="M159" s="28"/>
      <c r="N159" s="28"/>
      <c r="O159" s="29"/>
      <c r="P159" s="202"/>
      <c r="Q159" s="6"/>
      <c r="R159" s="6"/>
      <c r="S159" s="6"/>
      <c r="T159" s="124"/>
      <c r="U159" s="202"/>
      <c r="V159" s="6"/>
      <c r="W159" s="6"/>
      <c r="X159" s="6"/>
      <c r="Y159" s="124"/>
      <c r="Z159" s="202"/>
      <c r="AA159" s="6"/>
      <c r="AB159" s="6"/>
      <c r="AC159" s="124"/>
    </row>
    <row r="160" spans="1:29" x14ac:dyDescent="0.25">
      <c r="A160" s="288"/>
      <c r="B160" s="240">
        <v>38393</v>
      </c>
      <c r="C160" s="351" t="s">
        <v>182</v>
      </c>
      <c r="D160" s="236">
        <f>78370/1476</f>
        <v>53.096205962059621</v>
      </c>
      <c r="E160" s="216">
        <f>78370/1512</f>
        <v>51.832010582010582</v>
      </c>
      <c r="F160" s="221">
        <f>82680/1476</f>
        <v>56.016260162601625</v>
      </c>
      <c r="G160" s="225"/>
      <c r="H160" s="225"/>
      <c r="I160" s="226"/>
      <c r="J160" s="30"/>
      <c r="K160" s="28"/>
      <c r="L160" s="28"/>
      <c r="M160" s="28"/>
      <c r="N160" s="28"/>
      <c r="O160" s="29"/>
      <c r="P160" s="202"/>
      <c r="Q160" s="6"/>
      <c r="R160" s="6"/>
      <c r="S160" s="6"/>
      <c r="T160" s="124"/>
      <c r="U160" s="202"/>
      <c r="V160" s="6"/>
      <c r="W160" s="6"/>
      <c r="X160" s="6"/>
      <c r="Y160" s="124"/>
      <c r="Z160" s="202"/>
      <c r="AA160" s="6"/>
      <c r="AB160" s="6"/>
      <c r="AC160" s="124"/>
    </row>
    <row r="161" spans="1:29" x14ac:dyDescent="0.25">
      <c r="A161" s="288"/>
      <c r="B161" s="240">
        <v>38393</v>
      </c>
      <c r="C161" s="351" t="s">
        <v>183</v>
      </c>
      <c r="D161" s="236">
        <f>78370/1476</f>
        <v>53.096205962059621</v>
      </c>
      <c r="E161" s="221">
        <f t="shared" ref="E161:E168" si="5">78370/1476</f>
        <v>53.096205962059621</v>
      </c>
      <c r="F161" s="221">
        <f>82680/1512</f>
        <v>54.682539682539684</v>
      </c>
      <c r="G161" s="225">
        <f>81320/1476</f>
        <v>55.094850948509482</v>
      </c>
      <c r="H161" s="225"/>
      <c r="I161" s="226"/>
      <c r="J161" s="30"/>
      <c r="K161" s="28"/>
      <c r="L161" s="28"/>
      <c r="M161" s="28"/>
      <c r="N161" s="28"/>
      <c r="O161" s="29"/>
      <c r="P161" s="202"/>
      <c r="Q161" s="6"/>
      <c r="R161" s="6"/>
      <c r="S161" s="6"/>
      <c r="T161" s="124"/>
      <c r="U161" s="202"/>
      <c r="V161" s="6"/>
      <c r="W161" s="6"/>
      <c r="X161" s="6"/>
      <c r="Y161" s="124"/>
      <c r="Z161" s="202"/>
      <c r="AA161" s="6"/>
      <c r="AB161" s="6"/>
      <c r="AC161" s="124"/>
    </row>
    <row r="162" spans="1:29" x14ac:dyDescent="0.25">
      <c r="A162" s="288"/>
      <c r="B162" s="240">
        <v>39126</v>
      </c>
      <c r="C162" s="351" t="s">
        <v>198</v>
      </c>
      <c r="D162" s="236">
        <f>78370/1476</f>
        <v>53.096205962059621</v>
      </c>
      <c r="E162" s="221">
        <f t="shared" si="5"/>
        <v>53.096205962059621</v>
      </c>
      <c r="F162" s="221">
        <f>82680/1512</f>
        <v>54.682539682539684</v>
      </c>
      <c r="G162" s="225">
        <f>81320/1476</f>
        <v>55.094850948509482</v>
      </c>
      <c r="H162" s="225"/>
      <c r="I162" s="226"/>
      <c r="J162" s="30"/>
      <c r="K162" s="28"/>
      <c r="L162" s="28"/>
      <c r="M162" s="28"/>
      <c r="N162" s="28"/>
      <c r="O162" s="29"/>
      <c r="P162" s="202"/>
      <c r="Q162" s="6"/>
      <c r="R162" s="6"/>
      <c r="S162" s="6"/>
      <c r="T162" s="124"/>
      <c r="U162" s="202"/>
      <c r="V162" s="6"/>
      <c r="W162" s="6"/>
      <c r="X162" s="6"/>
      <c r="Y162" s="124"/>
      <c r="Z162" s="202"/>
      <c r="AA162" s="6"/>
      <c r="AB162" s="6"/>
      <c r="AC162" s="124"/>
    </row>
    <row r="163" spans="1:29" x14ac:dyDescent="0.25">
      <c r="A163" s="288"/>
      <c r="B163" s="240">
        <v>40587</v>
      </c>
      <c r="C163" s="351" t="s">
        <v>199</v>
      </c>
      <c r="D163" s="236"/>
      <c r="E163" s="221">
        <f t="shared" si="5"/>
        <v>53.096205962059621</v>
      </c>
      <c r="F163" s="221">
        <f>82680/1512</f>
        <v>54.682539682539684</v>
      </c>
      <c r="G163" s="225">
        <f>81320/1476</f>
        <v>55.094850948509482</v>
      </c>
      <c r="H163" s="225"/>
      <c r="I163" s="226"/>
      <c r="J163" s="30"/>
      <c r="K163" s="28"/>
      <c r="L163" s="28"/>
      <c r="M163" s="28"/>
      <c r="N163" s="28"/>
      <c r="O163" s="29"/>
      <c r="P163" s="202"/>
      <c r="Q163" s="6"/>
      <c r="R163" s="6"/>
      <c r="S163" s="6"/>
      <c r="T163" s="124"/>
      <c r="U163" s="202"/>
      <c r="V163" s="6"/>
      <c r="W163" s="6"/>
      <c r="X163" s="6"/>
      <c r="Y163" s="124"/>
      <c r="Z163" s="202"/>
      <c r="AA163" s="6"/>
      <c r="AB163" s="6"/>
      <c r="AC163" s="124"/>
    </row>
    <row r="164" spans="1:29" x14ac:dyDescent="0.25">
      <c r="A164" s="288"/>
      <c r="B164" s="240">
        <v>41318</v>
      </c>
      <c r="C164" s="351" t="s">
        <v>227</v>
      </c>
      <c r="D164" s="236">
        <f>78370/1476</f>
        <v>53.096205962059621</v>
      </c>
      <c r="E164" s="221"/>
      <c r="F164" s="221"/>
      <c r="G164" s="225"/>
      <c r="H164" s="225"/>
      <c r="I164" s="226"/>
      <c r="J164" s="30"/>
      <c r="K164" s="28"/>
      <c r="L164" s="28"/>
      <c r="M164" s="28"/>
      <c r="N164" s="28"/>
      <c r="O164" s="29"/>
      <c r="P164" s="202"/>
      <c r="Q164" s="6"/>
      <c r="R164" s="6"/>
      <c r="S164" s="6"/>
      <c r="T164" s="124"/>
      <c r="U164" s="202"/>
      <c r="V164" s="6"/>
      <c r="W164" s="6"/>
      <c r="X164" s="6"/>
      <c r="Y164" s="124"/>
      <c r="Z164" s="202"/>
      <c r="AA164" s="6"/>
      <c r="AB164" s="6"/>
      <c r="AC164" s="124"/>
    </row>
    <row r="165" spans="1:29" x14ac:dyDescent="0.25">
      <c r="A165" s="288"/>
      <c r="B165" s="240">
        <v>40954</v>
      </c>
      <c r="C165" s="348" t="s">
        <v>200</v>
      </c>
      <c r="D165" s="236"/>
      <c r="E165" s="225">
        <f t="shared" si="5"/>
        <v>53.096205962059621</v>
      </c>
      <c r="F165" s="221">
        <f>82680/1512</f>
        <v>54.682539682539684</v>
      </c>
      <c r="G165" s="225">
        <f>81320/1476</f>
        <v>55.094850948509482</v>
      </c>
      <c r="H165" s="225"/>
      <c r="I165" s="226"/>
      <c r="J165" s="30"/>
      <c r="K165" s="28"/>
      <c r="L165" s="28"/>
      <c r="M165" s="28"/>
      <c r="N165" s="28"/>
      <c r="O165" s="29"/>
      <c r="P165" s="202"/>
      <c r="Q165" s="6"/>
      <c r="R165" s="6"/>
      <c r="S165" s="6"/>
      <c r="T165" s="124"/>
      <c r="U165" s="202"/>
      <c r="V165" s="6"/>
      <c r="W165" s="6"/>
      <c r="X165" s="6"/>
      <c r="Y165" s="124"/>
      <c r="Z165" s="202"/>
      <c r="AA165" s="6"/>
      <c r="AB165" s="6"/>
      <c r="AC165" s="124"/>
    </row>
    <row r="166" spans="1:29" x14ac:dyDescent="0.25">
      <c r="A166" s="288"/>
      <c r="B166" s="264">
        <v>42781</v>
      </c>
      <c r="C166" s="349" t="s">
        <v>228</v>
      </c>
      <c r="D166" s="236">
        <f t="shared" ref="D166" si="6">78370/1476</f>
        <v>53.096205962059621</v>
      </c>
      <c r="E166" s="227"/>
      <c r="F166" s="221"/>
      <c r="G166" s="225"/>
      <c r="H166" s="225"/>
      <c r="I166" s="226"/>
      <c r="J166" s="30"/>
      <c r="K166" s="28"/>
      <c r="L166" s="28"/>
      <c r="M166" s="28"/>
      <c r="N166" s="28"/>
      <c r="O166" s="29"/>
      <c r="P166" s="202"/>
      <c r="Q166" s="6"/>
      <c r="R166" s="6"/>
      <c r="S166" s="6"/>
      <c r="T166" s="124"/>
      <c r="U166" s="202"/>
      <c r="V166" s="6"/>
      <c r="W166" s="6"/>
      <c r="X166" s="6"/>
      <c r="Y166" s="124"/>
      <c r="Z166" s="202"/>
      <c r="AA166" s="6"/>
      <c r="AB166" s="6"/>
      <c r="AC166" s="124"/>
    </row>
    <row r="167" spans="1:29" x14ac:dyDescent="0.25">
      <c r="A167" s="288"/>
      <c r="B167" s="240">
        <v>41685</v>
      </c>
      <c r="C167" s="351" t="s">
        <v>201</v>
      </c>
      <c r="D167" s="236">
        <f>78370/1476</f>
        <v>53.096205962059621</v>
      </c>
      <c r="E167" s="227">
        <f t="shared" si="5"/>
        <v>53.096205962059621</v>
      </c>
      <c r="F167" s="221">
        <f>82680/1512</f>
        <v>54.682539682539684</v>
      </c>
      <c r="G167" s="225">
        <f>81320/1476</f>
        <v>55.094850948509482</v>
      </c>
      <c r="H167" s="225"/>
      <c r="I167" s="226"/>
      <c r="J167" s="30"/>
      <c r="K167" s="28"/>
      <c r="L167" s="28"/>
      <c r="M167" s="28"/>
      <c r="N167" s="28"/>
      <c r="O167" s="29"/>
      <c r="P167" s="202"/>
      <c r="Q167" s="6"/>
      <c r="R167" s="6"/>
      <c r="S167" s="6"/>
      <c r="T167" s="124"/>
      <c r="U167" s="202"/>
      <c r="V167" s="6"/>
      <c r="W167" s="6"/>
      <c r="X167" s="6"/>
      <c r="Y167" s="124"/>
      <c r="Z167" s="202"/>
      <c r="AA167" s="6"/>
      <c r="AB167" s="6"/>
      <c r="AC167" s="124"/>
    </row>
    <row r="168" spans="1:29" x14ac:dyDescent="0.25">
      <c r="A168" s="288"/>
      <c r="B168" s="240">
        <v>42415</v>
      </c>
      <c r="C168" s="351" t="s">
        <v>202</v>
      </c>
      <c r="D168" s="236">
        <f>78370/1476</f>
        <v>53.096205962059621</v>
      </c>
      <c r="E168" s="227">
        <f t="shared" si="5"/>
        <v>53.096205962059621</v>
      </c>
      <c r="F168" s="216"/>
      <c r="G168" s="225"/>
      <c r="H168" s="225"/>
      <c r="I168" s="226"/>
      <c r="J168" s="30"/>
      <c r="K168" s="28"/>
      <c r="L168" s="28"/>
      <c r="M168" s="28"/>
      <c r="N168" s="28"/>
      <c r="O168" s="29"/>
      <c r="P168" s="202"/>
      <c r="Q168" s="6"/>
      <c r="R168" s="6"/>
      <c r="S168" s="6"/>
      <c r="T168" s="124"/>
      <c r="U168" s="202"/>
      <c r="V168" s="6"/>
      <c r="W168" s="6"/>
      <c r="X168" s="6"/>
      <c r="Y168" s="124"/>
      <c r="Z168" s="202"/>
      <c r="AA168" s="6"/>
      <c r="AB168" s="6"/>
      <c r="AC168" s="124"/>
    </row>
    <row r="169" spans="1:29" x14ac:dyDescent="0.25">
      <c r="A169" s="288"/>
      <c r="B169" s="264">
        <v>39493</v>
      </c>
      <c r="C169" s="349" t="s">
        <v>202</v>
      </c>
      <c r="D169" s="261"/>
      <c r="E169" s="265"/>
      <c r="F169" s="257"/>
      <c r="G169" s="31">
        <f>81320/1188</f>
        <v>68.45117845117845</v>
      </c>
      <c r="H169" s="225"/>
      <c r="I169" s="226"/>
      <c r="J169" s="30"/>
      <c r="K169" s="28"/>
      <c r="L169" s="28"/>
      <c r="M169" s="28"/>
      <c r="N169" s="28"/>
      <c r="O169" s="29"/>
      <c r="P169" s="202"/>
      <c r="Q169" s="6"/>
      <c r="R169" s="6"/>
      <c r="S169" s="6"/>
      <c r="T169" s="124"/>
      <c r="U169" s="202"/>
      <c r="V169" s="6"/>
      <c r="W169" s="6"/>
      <c r="X169" s="6"/>
      <c r="Y169" s="124"/>
      <c r="Z169" s="202"/>
      <c r="AA169" s="6"/>
      <c r="AB169" s="6"/>
      <c r="AC169" s="124"/>
    </row>
    <row r="170" spans="1:29" x14ac:dyDescent="0.25">
      <c r="A170" s="288"/>
      <c r="B170" s="240">
        <v>37307</v>
      </c>
      <c r="C170" s="351" t="s">
        <v>184</v>
      </c>
      <c r="D170" s="236">
        <f t="shared" ref="D170:D179" si="7">78370/1476</f>
        <v>53.096205962059621</v>
      </c>
      <c r="E170" s="221">
        <f>78370/1512</f>
        <v>51.832010582010582</v>
      </c>
      <c r="F170" s="216">
        <f>82680/1350</f>
        <v>61.244444444444447</v>
      </c>
      <c r="G170" s="216"/>
      <c r="H170" s="225"/>
      <c r="I170" s="226"/>
      <c r="J170" s="30"/>
      <c r="K170" s="28"/>
      <c r="L170" s="28"/>
      <c r="M170" s="28"/>
      <c r="N170" s="28"/>
      <c r="O170" s="29"/>
      <c r="P170" s="202"/>
      <c r="Q170" s="6"/>
      <c r="R170" s="6"/>
      <c r="S170" s="6"/>
      <c r="T170" s="124"/>
      <c r="U170" s="202"/>
      <c r="V170" s="6"/>
      <c r="W170" s="6"/>
      <c r="X170" s="6"/>
      <c r="Y170" s="124"/>
      <c r="Z170" s="202"/>
      <c r="AA170" s="6"/>
      <c r="AB170" s="6"/>
      <c r="AC170" s="124"/>
    </row>
    <row r="171" spans="1:29" x14ac:dyDescent="0.25">
      <c r="A171" s="288"/>
      <c r="B171" s="240">
        <v>37307</v>
      </c>
      <c r="C171" s="351" t="s">
        <v>185</v>
      </c>
      <c r="D171" s="236">
        <f t="shared" si="7"/>
        <v>53.096205962059621</v>
      </c>
      <c r="E171" s="221">
        <f>78370/1476</f>
        <v>53.096205962059621</v>
      </c>
      <c r="F171" s="216">
        <f>82680/1566</f>
        <v>52.796934865900383</v>
      </c>
      <c r="G171" s="216">
        <f>81320/1350</f>
        <v>60.237037037037034</v>
      </c>
      <c r="H171" s="225"/>
      <c r="I171" s="226"/>
      <c r="J171" s="30"/>
      <c r="K171" s="28"/>
      <c r="L171" s="28"/>
      <c r="M171" s="28"/>
      <c r="N171" s="28"/>
      <c r="O171" s="29"/>
      <c r="P171" s="202"/>
      <c r="Q171" s="6"/>
      <c r="R171" s="6"/>
      <c r="S171" s="6"/>
      <c r="T171" s="124"/>
      <c r="U171" s="202"/>
      <c r="V171" s="6"/>
      <c r="W171" s="6"/>
      <c r="X171" s="6"/>
      <c r="Y171" s="124"/>
      <c r="Z171" s="202"/>
      <c r="AA171" s="6"/>
      <c r="AB171" s="6"/>
      <c r="AC171" s="124"/>
    </row>
    <row r="172" spans="1:29" x14ac:dyDescent="0.25">
      <c r="A172" s="288"/>
      <c r="B172" s="240">
        <v>38037</v>
      </c>
      <c r="C172" s="351" t="s">
        <v>166</v>
      </c>
      <c r="D172" s="236">
        <f t="shared" si="7"/>
        <v>53.096205962059621</v>
      </c>
      <c r="E172" s="221">
        <f>78370/1476</f>
        <v>53.096205962059621</v>
      </c>
      <c r="F172" s="216">
        <f>82680/1458</f>
        <v>56.707818930041149</v>
      </c>
      <c r="G172" s="216">
        <f>81320/1458</f>
        <v>55.775034293552814</v>
      </c>
      <c r="H172" s="225"/>
      <c r="I172" s="226"/>
      <c r="J172" s="30"/>
      <c r="K172" s="28"/>
      <c r="L172" s="28"/>
      <c r="M172" s="28"/>
      <c r="N172" s="28"/>
      <c r="O172" s="29"/>
      <c r="P172" s="202"/>
      <c r="Q172" s="6"/>
      <c r="R172" s="6"/>
      <c r="S172" s="6"/>
      <c r="T172" s="124"/>
      <c r="U172" s="202"/>
      <c r="V172" s="6"/>
      <c r="W172" s="6"/>
      <c r="X172" s="6"/>
      <c r="Y172" s="124"/>
      <c r="Z172" s="202"/>
      <c r="AA172" s="6"/>
      <c r="AB172" s="6"/>
      <c r="AC172" s="124"/>
    </row>
    <row r="173" spans="1:29" x14ac:dyDescent="0.25">
      <c r="A173" s="288"/>
      <c r="B173" s="240">
        <v>36943</v>
      </c>
      <c r="C173" s="351" t="s">
        <v>186</v>
      </c>
      <c r="D173" s="236">
        <f t="shared" si="7"/>
        <v>53.096205962059621</v>
      </c>
      <c r="E173" s="221">
        <f>78370/1728</f>
        <v>45.35300925925926</v>
      </c>
      <c r="F173" s="216">
        <f>82680/918</f>
        <v>90.06535947712419</v>
      </c>
      <c r="G173" s="216"/>
      <c r="H173" s="225"/>
      <c r="I173" s="226"/>
      <c r="J173" s="30"/>
      <c r="K173" s="6"/>
      <c r="L173" s="6"/>
      <c r="M173" s="6"/>
      <c r="N173" s="28"/>
      <c r="O173" s="29"/>
      <c r="P173" s="202"/>
      <c r="Q173" s="6"/>
      <c r="R173" s="6"/>
      <c r="S173" s="6"/>
      <c r="T173" s="124"/>
      <c r="U173" s="202"/>
      <c r="V173" s="6"/>
      <c r="W173" s="6"/>
      <c r="X173" s="6"/>
      <c r="Y173" s="124"/>
      <c r="Z173" s="202"/>
      <c r="AA173" s="6"/>
      <c r="AB173" s="6"/>
      <c r="AC173" s="124"/>
    </row>
    <row r="174" spans="1:29" x14ac:dyDescent="0.25">
      <c r="A174" s="288"/>
      <c r="B174" s="240">
        <v>36943</v>
      </c>
      <c r="C174" s="351" t="s">
        <v>187</v>
      </c>
      <c r="D174" s="236">
        <f t="shared" si="7"/>
        <v>53.096205962059621</v>
      </c>
      <c r="E174" s="221">
        <f>78370/1890</f>
        <v>41.465608465608469</v>
      </c>
      <c r="F174" s="216">
        <f>82680/1728</f>
        <v>47.847222222222221</v>
      </c>
      <c r="G174" s="216">
        <f>81320/918</f>
        <v>88.583877995642695</v>
      </c>
      <c r="H174" s="225"/>
      <c r="I174" s="226"/>
      <c r="J174" s="30"/>
      <c r="K174" s="28"/>
      <c r="L174" s="28"/>
      <c r="M174" s="28"/>
      <c r="N174" s="28"/>
      <c r="O174" s="29"/>
      <c r="P174" s="202"/>
      <c r="Q174" s="6"/>
      <c r="R174" s="6"/>
      <c r="S174" s="6"/>
      <c r="T174" s="124"/>
      <c r="U174" s="202"/>
      <c r="V174" s="6"/>
      <c r="W174" s="6"/>
      <c r="X174" s="6"/>
      <c r="Y174" s="124"/>
      <c r="Z174" s="202"/>
      <c r="AA174" s="6"/>
      <c r="AB174" s="6"/>
      <c r="AC174" s="124"/>
    </row>
    <row r="175" spans="1:29" x14ac:dyDescent="0.25">
      <c r="A175" s="288"/>
      <c r="B175" s="240">
        <v>37673</v>
      </c>
      <c r="C175" s="351" t="s">
        <v>203</v>
      </c>
      <c r="D175" s="236">
        <f t="shared" si="7"/>
        <v>53.096205962059621</v>
      </c>
      <c r="E175" s="221">
        <f>78370/1476</f>
        <v>53.096205962059621</v>
      </c>
      <c r="F175" s="216">
        <f>82680/1458</f>
        <v>56.707818930041149</v>
      </c>
      <c r="G175" s="216">
        <f>81320/1350</f>
        <v>60.237037037037034</v>
      </c>
      <c r="H175" s="225"/>
      <c r="I175" s="226"/>
      <c r="J175" s="30"/>
      <c r="K175" s="28"/>
      <c r="L175" s="28"/>
      <c r="M175" s="28"/>
      <c r="N175" s="28"/>
      <c r="O175" s="29"/>
      <c r="P175" s="202"/>
      <c r="Q175" s="6"/>
      <c r="R175" s="6"/>
      <c r="S175" s="6"/>
      <c r="T175" s="124"/>
      <c r="U175" s="202"/>
      <c r="V175" s="6"/>
      <c r="W175" s="6"/>
      <c r="X175" s="6"/>
      <c r="Y175" s="124"/>
      <c r="Z175" s="202"/>
      <c r="AA175" s="6"/>
      <c r="AB175" s="6"/>
      <c r="AC175" s="124"/>
    </row>
    <row r="176" spans="1:29" x14ac:dyDescent="0.25">
      <c r="A176" s="288"/>
      <c r="B176" s="240">
        <v>38770</v>
      </c>
      <c r="C176" s="351" t="s">
        <v>204</v>
      </c>
      <c r="D176" s="236">
        <f t="shared" si="7"/>
        <v>53.096205962059621</v>
      </c>
      <c r="E176" s="221">
        <f>78370/1674</f>
        <v>46.816009557945044</v>
      </c>
      <c r="F176" s="216">
        <f>82680/1620</f>
        <v>51.037037037037038</v>
      </c>
      <c r="G176" s="266">
        <f>81320/1242</f>
        <v>65.475040257648956</v>
      </c>
      <c r="H176" s="225"/>
      <c r="I176" s="226"/>
      <c r="J176" s="36"/>
      <c r="K176" s="28"/>
      <c r="L176" s="28"/>
      <c r="M176" s="28"/>
      <c r="N176" s="28"/>
      <c r="O176" s="29"/>
      <c r="P176" s="202"/>
      <c r="Q176" s="6"/>
      <c r="R176" s="6"/>
      <c r="S176" s="6"/>
      <c r="T176" s="124"/>
      <c r="U176" s="202"/>
      <c r="V176" s="6"/>
      <c r="W176" s="6"/>
      <c r="X176" s="6"/>
      <c r="Y176" s="124"/>
      <c r="Z176" s="202"/>
      <c r="AA176" s="6"/>
      <c r="AB176" s="6"/>
      <c r="AC176" s="124"/>
    </row>
    <row r="177" spans="1:29" x14ac:dyDescent="0.25">
      <c r="A177" s="288"/>
      <c r="B177" s="240">
        <v>36945</v>
      </c>
      <c r="C177" s="348" t="s">
        <v>205</v>
      </c>
      <c r="D177" s="236">
        <f t="shared" si="7"/>
        <v>53.096205962059621</v>
      </c>
      <c r="E177" s="221">
        <f>78370/1782</f>
        <v>43.978675645342314</v>
      </c>
      <c r="F177" s="225">
        <f>82680/1566</f>
        <v>52.796934865900383</v>
      </c>
      <c r="G177" s="216">
        <f>81320/1188</f>
        <v>68.45117845117845</v>
      </c>
      <c r="H177" s="225"/>
      <c r="I177" s="226"/>
      <c r="J177" s="36"/>
      <c r="K177" s="28"/>
      <c r="L177" s="28"/>
      <c r="M177" s="28"/>
      <c r="N177" s="28"/>
      <c r="O177" s="29"/>
      <c r="P177" s="202"/>
      <c r="Q177" s="6"/>
      <c r="R177" s="6"/>
      <c r="S177" s="6"/>
      <c r="T177" s="124"/>
      <c r="U177" s="202"/>
      <c r="V177" s="6"/>
      <c r="W177" s="6"/>
      <c r="X177" s="6"/>
      <c r="Y177" s="124"/>
      <c r="Z177" s="202"/>
      <c r="AA177" s="6"/>
      <c r="AB177" s="6"/>
      <c r="AC177" s="124"/>
    </row>
    <row r="178" spans="1:29" x14ac:dyDescent="0.25">
      <c r="A178" s="288"/>
      <c r="B178" s="240">
        <v>39136</v>
      </c>
      <c r="C178" s="348" t="s">
        <v>206</v>
      </c>
      <c r="D178" s="236">
        <f t="shared" si="7"/>
        <v>53.096205962059621</v>
      </c>
      <c r="E178" s="218">
        <f>78370/1476</f>
        <v>53.096205962059621</v>
      </c>
      <c r="F178" s="218">
        <f>82680/1512</f>
        <v>54.682539682539684</v>
      </c>
      <c r="G178" s="218">
        <f>81320/1476</f>
        <v>55.094850948509482</v>
      </c>
      <c r="H178" s="228"/>
      <c r="I178" s="229"/>
      <c r="J178" s="215"/>
      <c r="K178" s="28"/>
      <c r="L178" s="28"/>
      <c r="M178" s="28"/>
      <c r="N178" s="28"/>
      <c r="O178" s="38"/>
      <c r="P178" s="202"/>
      <c r="Q178" s="6"/>
      <c r="R178" s="6"/>
      <c r="S178" s="6"/>
      <c r="T178" s="124"/>
      <c r="U178" s="202"/>
      <c r="V178" s="6"/>
      <c r="W178" s="6"/>
      <c r="X178" s="6"/>
      <c r="Y178" s="124"/>
      <c r="Z178" s="202"/>
      <c r="AA178" s="6"/>
      <c r="AB178" s="6"/>
      <c r="AC178" s="124"/>
    </row>
    <row r="179" spans="1:29" x14ac:dyDescent="0.25">
      <c r="A179" s="288"/>
      <c r="B179" s="267">
        <v>39140</v>
      </c>
      <c r="C179" s="349" t="s">
        <v>207</v>
      </c>
      <c r="D179" s="261">
        <f t="shared" si="7"/>
        <v>53.096205962059621</v>
      </c>
      <c r="E179" s="218">
        <f>78370/1476</f>
        <v>53.096205962059621</v>
      </c>
      <c r="F179" s="218">
        <f>82680/1476</f>
        <v>56.016260162601625</v>
      </c>
      <c r="G179" s="218"/>
      <c r="H179" s="228"/>
      <c r="I179" s="229"/>
      <c r="J179" s="215"/>
      <c r="K179" s="28"/>
      <c r="L179" s="28"/>
      <c r="M179" s="28"/>
      <c r="N179" s="28"/>
      <c r="O179" s="38"/>
      <c r="P179" s="202"/>
      <c r="Q179" s="6"/>
      <c r="R179" s="6"/>
      <c r="S179" s="6"/>
      <c r="T179" s="124"/>
      <c r="U179" s="202"/>
      <c r="V179" s="6"/>
      <c r="W179" s="6"/>
      <c r="X179" s="6"/>
      <c r="Y179" s="124"/>
      <c r="Z179" s="202"/>
      <c r="AA179" s="6"/>
      <c r="AB179" s="6"/>
      <c r="AC179" s="124"/>
    </row>
    <row r="180" spans="1:29" x14ac:dyDescent="0.25">
      <c r="A180" s="288"/>
      <c r="B180" s="267">
        <v>39140</v>
      </c>
      <c r="C180" s="349" t="s">
        <v>208</v>
      </c>
      <c r="D180" s="261"/>
      <c r="E180" s="223"/>
      <c r="F180" s="223"/>
      <c r="G180" s="223">
        <f>81320/1476</f>
        <v>55.094850948509482</v>
      </c>
      <c r="H180" s="228"/>
      <c r="I180" s="229"/>
      <c r="J180" s="215"/>
      <c r="K180" s="28"/>
      <c r="L180" s="28"/>
      <c r="M180" s="28"/>
      <c r="N180" s="28"/>
      <c r="O180" s="38"/>
      <c r="P180" s="202"/>
      <c r="Q180" s="6"/>
      <c r="R180" s="6"/>
      <c r="S180" s="6"/>
      <c r="T180" s="124"/>
      <c r="U180" s="202"/>
      <c r="V180" s="6"/>
      <c r="W180" s="6"/>
      <c r="X180" s="6"/>
      <c r="Y180" s="124"/>
      <c r="Z180" s="202"/>
      <c r="AA180" s="6"/>
      <c r="AB180" s="6"/>
      <c r="AC180" s="124"/>
    </row>
    <row r="181" spans="1:29" x14ac:dyDescent="0.25">
      <c r="A181" s="288"/>
      <c r="B181" s="267">
        <v>39140</v>
      </c>
      <c r="C181" s="352" t="s">
        <v>222</v>
      </c>
      <c r="D181" s="268"/>
      <c r="E181" s="223">
        <f>78370/1476</f>
        <v>53.096205962059621</v>
      </c>
      <c r="F181" s="223">
        <f>82680/1476</f>
        <v>56.016260162601625</v>
      </c>
      <c r="G181" s="223">
        <f>81320/1478</f>
        <v>55.020297699594046</v>
      </c>
      <c r="H181" s="228"/>
      <c r="I181" s="229"/>
      <c r="J181" s="215"/>
      <c r="K181" s="37"/>
      <c r="L181" s="37"/>
      <c r="M181" s="37"/>
      <c r="N181" s="37"/>
      <c r="O181" s="38"/>
      <c r="P181" s="246"/>
      <c r="Q181" s="247"/>
      <c r="R181" s="247"/>
      <c r="S181" s="247"/>
      <c r="T181" s="125"/>
      <c r="U181" s="246"/>
      <c r="V181" s="247"/>
      <c r="W181" s="247"/>
      <c r="X181" s="247"/>
      <c r="Y181" s="125"/>
      <c r="Z181" s="246"/>
      <c r="AA181" s="247"/>
      <c r="AB181" s="247"/>
      <c r="AC181" s="125"/>
    </row>
    <row r="182" spans="1:29" ht="15.75" thickBot="1" x14ac:dyDescent="0.3">
      <c r="A182" s="289"/>
      <c r="B182" s="241" t="s">
        <v>188</v>
      </c>
      <c r="C182" s="353" t="s">
        <v>189</v>
      </c>
      <c r="D182" s="18"/>
      <c r="E182" s="16"/>
      <c r="F182" s="16"/>
      <c r="G182" s="255">
        <f>(74720/10*6)/540</f>
        <v>83.022222222222226</v>
      </c>
      <c r="H182" s="32"/>
      <c r="I182" s="33"/>
      <c r="J182" s="230"/>
      <c r="K182" s="32"/>
      <c r="L182" s="32"/>
      <c r="M182" s="32"/>
      <c r="N182" s="32"/>
      <c r="O182" s="33"/>
      <c r="P182" s="269"/>
      <c r="Q182" s="113"/>
      <c r="R182" s="113"/>
      <c r="S182" s="113"/>
      <c r="T182" s="126"/>
      <c r="U182" s="269"/>
      <c r="V182" s="113"/>
      <c r="W182" s="113"/>
      <c r="X182" s="113"/>
      <c r="Y182" s="126"/>
      <c r="Z182" s="269"/>
      <c r="AA182" s="113"/>
      <c r="AB182" s="113"/>
      <c r="AC182" s="126"/>
    </row>
    <row r="183" spans="1:29" s="67" customFormat="1" ht="12" customHeight="1" x14ac:dyDescent="0.3">
      <c r="B183" s="233"/>
    </row>
    <row r="184" spans="1:29" s="67" customFormat="1" ht="18.75" x14ac:dyDescent="0.3">
      <c r="B184" s="233"/>
    </row>
    <row r="185" spans="1:29" s="67" customFormat="1" ht="18.75" x14ac:dyDescent="0.3">
      <c r="B185" s="233"/>
      <c r="D185" s="67" t="s">
        <v>229</v>
      </c>
      <c r="R185" s="67" t="s">
        <v>209</v>
      </c>
    </row>
    <row r="186" spans="1:29" s="67" customFormat="1" ht="18.75" x14ac:dyDescent="0.3">
      <c r="B186" s="233"/>
    </row>
    <row r="187" spans="1:29" s="40" customFormat="1" ht="18.75" x14ac:dyDescent="0.3">
      <c r="B187" s="234"/>
      <c r="R187" s="67"/>
      <c r="S187" s="67"/>
      <c r="T187" s="67"/>
    </row>
    <row r="188" spans="1:29" s="40" customFormat="1" ht="18.75" x14ac:dyDescent="0.3">
      <c r="B188" s="234"/>
      <c r="D188" s="276" t="s">
        <v>230</v>
      </c>
      <c r="E188" s="276"/>
      <c r="F188" s="276"/>
      <c r="G188" s="276"/>
      <c r="H188" s="276"/>
      <c r="I188" s="276"/>
      <c r="J188" s="276"/>
      <c r="K188" s="276"/>
      <c r="L188" s="276"/>
      <c r="R188" s="67" t="s">
        <v>210</v>
      </c>
      <c r="S188" s="67"/>
      <c r="T188" s="67"/>
    </row>
    <row r="189" spans="1:29" ht="18.75" x14ac:dyDescent="0.3">
      <c r="D189" s="67"/>
      <c r="E189" s="67"/>
      <c r="F189" s="67"/>
      <c r="G189" s="67"/>
      <c r="H189" s="67"/>
      <c r="I189" s="67"/>
      <c r="J189" s="67"/>
      <c r="K189" s="67"/>
      <c r="L189" s="67"/>
      <c r="R189" s="67"/>
      <c r="S189" s="67"/>
      <c r="T189" s="67"/>
    </row>
    <row r="190" spans="1:29" ht="18.75" x14ac:dyDescent="0.3">
      <c r="D190" s="40"/>
      <c r="E190" s="40"/>
      <c r="F190" s="40"/>
      <c r="G190" s="40"/>
      <c r="H190" s="40"/>
      <c r="I190" s="40"/>
      <c r="J190" s="40"/>
      <c r="K190" s="40"/>
      <c r="L190" s="40"/>
      <c r="R190" s="40"/>
      <c r="S190" s="40"/>
      <c r="T190" s="40"/>
    </row>
    <row r="191" spans="1:29" ht="18.75" x14ac:dyDescent="0.3">
      <c r="D191" s="40" t="s">
        <v>211</v>
      </c>
      <c r="E191" s="40"/>
      <c r="F191" s="40"/>
      <c r="G191" s="40"/>
      <c r="H191" s="40"/>
      <c r="I191" s="40"/>
      <c r="J191" s="40"/>
      <c r="K191" s="40"/>
      <c r="L191" s="40"/>
      <c r="R191" s="40" t="s">
        <v>212</v>
      </c>
      <c r="S191" s="40"/>
      <c r="T191" s="40"/>
    </row>
  </sheetData>
  <mergeCells count="24">
    <mergeCell ref="D188:L188"/>
    <mergeCell ref="A27:A38"/>
    <mergeCell ref="A61:A83"/>
    <mergeCell ref="A89:A112"/>
    <mergeCell ref="AB8:AC8"/>
    <mergeCell ref="A39:A45"/>
    <mergeCell ref="A113:A135"/>
    <mergeCell ref="A84:A88"/>
    <mergeCell ref="A145:A182"/>
    <mergeCell ref="A137:A144"/>
    <mergeCell ref="D9:I9"/>
    <mergeCell ref="J9:O9"/>
    <mergeCell ref="U9:Y9"/>
    <mergeCell ref="A9:A10"/>
    <mergeCell ref="A11:A26"/>
    <mergeCell ref="A46:A60"/>
    <mergeCell ref="A7:AC7"/>
    <mergeCell ref="A5:AC5"/>
    <mergeCell ref="Z9:AC9"/>
    <mergeCell ref="A4:AC4"/>
    <mergeCell ref="A6:AC6"/>
    <mergeCell ref="B9:B10"/>
    <mergeCell ref="C9:C10"/>
    <mergeCell ref="P9:T9"/>
  </mergeCells>
  <pageMargins left="0.59055118110236227" right="0.19685039370078741" top="0.31496062992125984" bottom="0.31496062992125984" header="0.15748031496062992" footer="0.15748031496062992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31"/>
  <sheetViews>
    <sheetView workbookViewId="0">
      <selection activeCell="E13" sqref="E13"/>
    </sheetView>
  </sheetViews>
  <sheetFormatPr defaultRowHeight="15" x14ac:dyDescent="0.25"/>
  <cols>
    <col min="1" max="1" width="6.28515625" customWidth="1"/>
    <col min="2" max="2" width="9.5703125" customWidth="1"/>
    <col min="3" max="3" width="13.85546875" style="4" customWidth="1"/>
    <col min="4" max="4" width="17.140625" customWidth="1"/>
    <col min="5" max="6" width="6.5703125" customWidth="1"/>
    <col min="7" max="7" width="6.42578125" customWidth="1"/>
    <col min="8" max="9" width="6.140625" customWidth="1"/>
    <col min="10" max="11" width="6.28515625" customWidth="1"/>
    <col min="12" max="12" width="6.42578125" customWidth="1"/>
    <col min="13" max="13" width="6.140625" customWidth="1"/>
    <col min="14" max="14" width="6" customWidth="1"/>
    <col min="15" max="15" width="6.140625" customWidth="1"/>
    <col min="16" max="17" width="6.28515625" customWidth="1"/>
    <col min="18" max="18" width="6.7109375" customWidth="1"/>
    <col min="19" max="20" width="6.42578125" customWidth="1"/>
    <col min="21" max="21" width="6.28515625" customWidth="1"/>
    <col min="22" max="22" width="7.140625" customWidth="1"/>
    <col min="23" max="23" width="6.7109375" customWidth="1"/>
    <col min="24" max="25" width="6.140625" customWidth="1"/>
    <col min="26" max="26" width="6" customWidth="1"/>
    <col min="27" max="27" width="6.85546875" customWidth="1"/>
    <col min="28" max="28" width="7.7109375" customWidth="1"/>
    <col min="29" max="29" width="6.85546875" customWidth="1"/>
    <col min="30" max="30" width="7.5703125" customWidth="1"/>
  </cols>
  <sheetData>
    <row r="1" spans="2:30" s="176" customFormat="1" ht="18.75" x14ac:dyDescent="0.3">
      <c r="C1" s="177"/>
      <c r="X1" s="176" t="s">
        <v>232</v>
      </c>
    </row>
    <row r="2" spans="2:30" s="176" customFormat="1" ht="18.75" x14ac:dyDescent="0.3">
      <c r="C2" s="177"/>
      <c r="X2" s="176" t="s">
        <v>215</v>
      </c>
    </row>
    <row r="3" spans="2:30" ht="14.25" customHeight="1" x14ac:dyDescent="0.25"/>
    <row r="4" spans="2:30" s="1" customFormat="1" ht="15.75" customHeight="1" x14ac:dyDescent="0.25">
      <c r="B4" s="270" t="s">
        <v>217</v>
      </c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</row>
    <row r="5" spans="2:30" s="1" customFormat="1" ht="18.75" x14ac:dyDescent="0.25">
      <c r="B5" s="248" t="s">
        <v>231</v>
      </c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</row>
    <row r="6" spans="2:30" s="1" customFormat="1" ht="18.75" x14ac:dyDescent="0.25">
      <c r="B6" s="270" t="s">
        <v>216</v>
      </c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</row>
    <row r="7" spans="2:30" s="1" customFormat="1" ht="19.5" thickBot="1" x14ac:dyDescent="0.3">
      <c r="B7" s="3"/>
      <c r="C7" s="5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AA7" s="2"/>
      <c r="AB7" s="2"/>
      <c r="AC7" s="282" t="s">
        <v>120</v>
      </c>
      <c r="AD7" s="282"/>
    </row>
    <row r="8" spans="2:30" ht="15.75" customHeight="1" thickBot="1" x14ac:dyDescent="0.3">
      <c r="B8" s="291" t="s">
        <v>2</v>
      </c>
      <c r="C8" s="272" t="s">
        <v>1</v>
      </c>
      <c r="D8" s="274" t="s">
        <v>0</v>
      </c>
      <c r="E8" s="271" t="s">
        <v>12</v>
      </c>
      <c r="F8" s="271"/>
      <c r="G8" s="271"/>
      <c r="H8" s="271"/>
      <c r="I8" s="271"/>
      <c r="J8" s="271"/>
      <c r="K8" s="271" t="s">
        <v>11</v>
      </c>
      <c r="L8" s="271"/>
      <c r="M8" s="271"/>
      <c r="N8" s="271"/>
      <c r="O8" s="271"/>
      <c r="P8" s="271"/>
      <c r="Q8" s="271" t="s">
        <v>24</v>
      </c>
      <c r="R8" s="271"/>
      <c r="S8" s="271"/>
      <c r="T8" s="271"/>
      <c r="U8" s="271"/>
      <c r="V8" s="271" t="s">
        <v>10</v>
      </c>
      <c r="W8" s="271"/>
      <c r="X8" s="271"/>
      <c r="Y8" s="271"/>
      <c r="Z8" s="271"/>
      <c r="AA8" s="271" t="s">
        <v>104</v>
      </c>
      <c r="AB8" s="271"/>
      <c r="AC8" s="271"/>
      <c r="AD8" s="271"/>
    </row>
    <row r="9" spans="2:30" ht="15.75" customHeight="1" thickBot="1" x14ac:dyDescent="0.3">
      <c r="B9" s="275"/>
      <c r="C9" s="273"/>
      <c r="D9" s="275"/>
      <c r="E9" s="128" t="s">
        <v>4</v>
      </c>
      <c r="F9" s="129" t="s">
        <v>5</v>
      </c>
      <c r="G9" s="129" t="s">
        <v>6</v>
      </c>
      <c r="H9" s="129" t="s">
        <v>7</v>
      </c>
      <c r="I9" s="129" t="s">
        <v>8</v>
      </c>
      <c r="J9" s="130" t="s">
        <v>9</v>
      </c>
      <c r="K9" s="128" t="s">
        <v>4</v>
      </c>
      <c r="L9" s="129" t="s">
        <v>5</v>
      </c>
      <c r="M9" s="129" t="s">
        <v>6</v>
      </c>
      <c r="N9" s="129" t="s">
        <v>7</v>
      </c>
      <c r="O9" s="129" t="s">
        <v>8</v>
      </c>
      <c r="P9" s="130" t="s">
        <v>9</v>
      </c>
      <c r="Q9" s="128" t="s">
        <v>4</v>
      </c>
      <c r="R9" s="129" t="s">
        <v>5</v>
      </c>
      <c r="S9" s="129" t="s">
        <v>6</v>
      </c>
      <c r="T9" s="130" t="s">
        <v>7</v>
      </c>
      <c r="U9" s="130" t="s">
        <v>140</v>
      </c>
      <c r="V9" s="128" t="s">
        <v>4</v>
      </c>
      <c r="W9" s="129" t="s">
        <v>5</v>
      </c>
      <c r="X9" s="129" t="s">
        <v>6</v>
      </c>
      <c r="Y9" s="129" t="s">
        <v>7</v>
      </c>
      <c r="Z9" s="130" t="s">
        <v>8</v>
      </c>
      <c r="AA9" s="128" t="s">
        <v>4</v>
      </c>
      <c r="AB9" s="129" t="s">
        <v>5</v>
      </c>
      <c r="AC9" s="129" t="s">
        <v>6</v>
      </c>
      <c r="AD9" s="130" t="s">
        <v>7</v>
      </c>
    </row>
    <row r="10" spans="2:30" s="122" customFormat="1" ht="15" customHeight="1" x14ac:dyDescent="0.25">
      <c r="B10" s="285" t="s">
        <v>13</v>
      </c>
      <c r="C10" s="175">
        <v>38860</v>
      </c>
      <c r="D10" s="300" t="s">
        <v>156</v>
      </c>
      <c r="E10" s="251">
        <f>138130/2/1112.8</f>
        <v>62.06416247304098</v>
      </c>
      <c r="F10" s="251">
        <f>131130/2/1112.8</f>
        <v>58.918943206326389</v>
      </c>
      <c r="G10" s="251">
        <f>129210/2/1112.8</f>
        <v>58.056254493170385</v>
      </c>
      <c r="H10" s="251">
        <f>129640/2/1112.8</f>
        <v>58.24946081955428</v>
      </c>
      <c r="I10" s="251">
        <f>134430/2/1112.8</f>
        <v>60.401689432063264</v>
      </c>
      <c r="J10" s="249"/>
      <c r="K10" s="252">
        <f>62870/2/927.3</f>
        <v>33.899493152162194</v>
      </c>
      <c r="L10" s="251">
        <f>55870/2/927.3</f>
        <v>30.125094359969808</v>
      </c>
      <c r="M10" s="251">
        <f>58940/2/927.3</f>
        <v>31.780437830259896</v>
      </c>
      <c r="N10" s="251">
        <f>61280/2/927.3</f>
        <v>33.042165426507069</v>
      </c>
      <c r="O10" s="251">
        <f>61280/2/927.3</f>
        <v>33.042165426507069</v>
      </c>
      <c r="P10" s="249">
        <f>63120/2/927.3</f>
        <v>34.034293109026208</v>
      </c>
      <c r="Q10" s="250"/>
      <c r="R10" s="251"/>
      <c r="S10" s="251"/>
      <c r="T10" s="251"/>
      <c r="U10" s="250"/>
      <c r="V10" s="252"/>
      <c r="W10" s="251"/>
      <c r="X10" s="251"/>
      <c r="Y10" s="251"/>
      <c r="Z10" s="121"/>
      <c r="AA10" s="252"/>
      <c r="AB10" s="251"/>
      <c r="AC10" s="251"/>
      <c r="AD10" s="249"/>
    </row>
    <row r="11" spans="2:30" s="122" customFormat="1" ht="15.75" customHeight="1" x14ac:dyDescent="0.25">
      <c r="B11" s="278"/>
      <c r="C11" s="55">
        <v>37335</v>
      </c>
      <c r="D11" s="149" t="s">
        <v>14</v>
      </c>
      <c r="E11" s="94">
        <f>134940/2/1121</f>
        <v>60.187332738626225</v>
      </c>
      <c r="F11" s="92">
        <f>131130/2/1121</f>
        <v>58.487957181088312</v>
      </c>
      <c r="G11" s="92">
        <f>129210/2/1121</f>
        <v>57.631578947368418</v>
      </c>
      <c r="H11" s="92"/>
      <c r="I11" s="92"/>
      <c r="J11" s="95"/>
      <c r="K11" s="243"/>
      <c r="L11" s="87"/>
      <c r="M11" s="92"/>
      <c r="N11" s="92">
        <f>61280/2/896.8</f>
        <v>34.165923282783233</v>
      </c>
      <c r="O11" s="92"/>
      <c r="P11" s="95"/>
      <c r="Q11" s="192"/>
      <c r="R11" s="119"/>
      <c r="S11" s="119"/>
      <c r="T11" s="119"/>
      <c r="U11" s="120"/>
      <c r="V11" s="94"/>
      <c r="W11" s="92"/>
      <c r="X11" s="92"/>
      <c r="Y11" s="92"/>
      <c r="Z11" s="95"/>
      <c r="AA11" s="117"/>
      <c r="AB11" s="118"/>
      <c r="AC11" s="118"/>
      <c r="AD11" s="121"/>
    </row>
    <row r="12" spans="2:30" s="122" customFormat="1" ht="15" customHeight="1" x14ac:dyDescent="0.25">
      <c r="B12" s="278"/>
      <c r="C12" s="51">
        <v>36971</v>
      </c>
      <c r="D12" s="301" t="s">
        <v>15</v>
      </c>
      <c r="E12" s="83">
        <f>169170/2/1121</f>
        <v>75.454950936663693</v>
      </c>
      <c r="F12" s="81">
        <f>162170/2/1121</f>
        <v>72.332738626226586</v>
      </c>
      <c r="G12" s="81">
        <f>171080/2/1121</f>
        <v>76.306868867082969</v>
      </c>
      <c r="H12" s="81">
        <f>177920/2/1121</f>
        <v>79.357716324710083</v>
      </c>
      <c r="I12" s="81"/>
      <c r="J12" s="82"/>
      <c r="K12" s="83"/>
      <c r="L12" s="87"/>
      <c r="M12" s="81"/>
      <c r="N12" s="81"/>
      <c r="O12" s="81"/>
      <c r="P12" s="82"/>
      <c r="Q12" s="109"/>
      <c r="R12" s="86"/>
      <c r="S12" s="86"/>
      <c r="T12" s="86"/>
      <c r="U12" s="110"/>
      <c r="V12" s="83">
        <f>91090/2/896.8</f>
        <v>50.786128456735064</v>
      </c>
      <c r="W12" s="81"/>
      <c r="X12" s="81"/>
      <c r="Y12" s="81"/>
      <c r="Z12" s="81">
        <f>92250/2/896.8</f>
        <v>51.432872435325606</v>
      </c>
      <c r="AA12" s="83">
        <f>113860/2/1121</f>
        <v>50.785013380909902</v>
      </c>
      <c r="AB12" s="81">
        <f>105100/2/1121</f>
        <v>46.877787689562894</v>
      </c>
      <c r="AC12" s="81">
        <f>110880/2/1121</f>
        <v>49.45584299732382</v>
      </c>
      <c r="AD12" s="82">
        <f>115310/2/1121</f>
        <v>51.431757359500445</v>
      </c>
    </row>
    <row r="13" spans="2:30" s="122" customFormat="1" ht="15" customHeight="1" x14ac:dyDescent="0.25">
      <c r="B13" s="278"/>
      <c r="C13" s="51">
        <v>37002</v>
      </c>
      <c r="D13" s="301" t="s">
        <v>213</v>
      </c>
      <c r="E13" s="83"/>
      <c r="F13" s="81"/>
      <c r="G13" s="81"/>
      <c r="H13" s="81"/>
      <c r="I13" s="81"/>
      <c r="J13" s="82"/>
      <c r="K13" s="83"/>
      <c r="L13" s="87"/>
      <c r="M13" s="81"/>
      <c r="N13" s="81"/>
      <c r="O13" s="81"/>
      <c r="P13" s="82"/>
      <c r="Q13" s="109"/>
      <c r="R13" s="86"/>
      <c r="S13" s="86"/>
      <c r="T13" s="86"/>
      <c r="U13" s="110"/>
      <c r="V13" s="97">
        <f>105970/2/864</f>
        <v>61.325231481481481</v>
      </c>
      <c r="W13" s="81"/>
      <c r="X13" s="81"/>
      <c r="Y13" s="81"/>
      <c r="Z13" s="82"/>
      <c r="AA13" s="83"/>
      <c r="AB13" s="81"/>
      <c r="AC13" s="81"/>
      <c r="AD13" s="82"/>
    </row>
    <row r="14" spans="2:30" s="122" customFormat="1" ht="15" customHeight="1" x14ac:dyDescent="0.25">
      <c r="B14" s="278"/>
      <c r="C14" s="51">
        <v>38781</v>
      </c>
      <c r="D14" s="301" t="s">
        <v>16</v>
      </c>
      <c r="E14" s="83">
        <f>134940/2/1121</f>
        <v>60.187332738626225</v>
      </c>
      <c r="F14" s="81">
        <f>131130/2/1121</f>
        <v>58.487957181088312</v>
      </c>
      <c r="G14" s="81">
        <f>129210/2/1121</f>
        <v>57.631578947368418</v>
      </c>
      <c r="H14" s="81">
        <f>129640/2/1121</f>
        <v>57.823371989295275</v>
      </c>
      <c r="I14" s="81"/>
      <c r="J14" s="82"/>
      <c r="K14" s="83"/>
      <c r="L14" s="81"/>
      <c r="M14" s="81"/>
      <c r="N14" s="81"/>
      <c r="O14" s="81"/>
      <c r="P14" s="82"/>
      <c r="Q14" s="109"/>
      <c r="R14" s="86"/>
      <c r="S14" s="86"/>
      <c r="T14" s="86"/>
      <c r="U14" s="110"/>
      <c r="V14" s="83"/>
      <c r="W14" s="81"/>
      <c r="X14" s="81"/>
      <c r="Y14" s="81"/>
      <c r="Z14" s="82"/>
      <c r="AA14" s="108"/>
      <c r="AB14" s="87"/>
      <c r="AC14" s="87"/>
      <c r="AD14" s="88"/>
    </row>
    <row r="15" spans="2:30" s="122" customFormat="1" x14ac:dyDescent="0.25">
      <c r="B15" s="278"/>
      <c r="C15" s="51">
        <v>37336</v>
      </c>
      <c r="D15" s="301" t="s">
        <v>17</v>
      </c>
      <c r="E15" s="83">
        <f>163160/2/1121</f>
        <v>72.77430865298841</v>
      </c>
      <c r="F15" s="81">
        <f>162170/2/1121</f>
        <v>72.332738626226586</v>
      </c>
      <c r="G15" s="81">
        <f>171080/2/1121</f>
        <v>76.306868867082969</v>
      </c>
      <c r="H15" s="81">
        <f>177920/2/1121</f>
        <v>79.357716324710083</v>
      </c>
      <c r="I15" s="81"/>
      <c r="J15" s="82"/>
      <c r="K15" s="108">
        <f>62870/2/896.8</f>
        <v>35.052408563782336</v>
      </c>
      <c r="L15" s="81">
        <f>55870/2/896.8</f>
        <v>31.149643175735953</v>
      </c>
      <c r="M15" s="81">
        <f>58940/2/896.8</f>
        <v>32.86128456735058</v>
      </c>
      <c r="N15" s="81"/>
      <c r="O15" s="81">
        <f>61280/2/896.8</f>
        <v>34.165923282783233</v>
      </c>
      <c r="P15" s="82"/>
      <c r="Q15" s="109">
        <f>78580/2/1121</f>
        <v>35.049063336306865</v>
      </c>
      <c r="R15" s="86"/>
      <c r="S15" s="86"/>
      <c r="T15" s="86"/>
      <c r="U15" s="110"/>
      <c r="V15" s="83"/>
      <c r="W15" s="81"/>
      <c r="X15" s="81"/>
      <c r="Y15" s="81"/>
      <c r="Z15" s="82"/>
      <c r="AA15" s="186"/>
      <c r="AB15" s="87"/>
      <c r="AC15" s="87"/>
      <c r="AD15" s="88"/>
    </row>
    <row r="16" spans="2:30" s="122" customFormat="1" x14ac:dyDescent="0.25">
      <c r="B16" s="278"/>
      <c r="C16" s="51">
        <v>38812</v>
      </c>
      <c r="D16" s="301" t="s">
        <v>23</v>
      </c>
      <c r="E16" s="83">
        <f>143770/2/1080</f>
        <v>66.56018518518519</v>
      </c>
      <c r="F16" s="81">
        <f>139660/2/1080</f>
        <v>64.657407407407405</v>
      </c>
      <c r="G16" s="81"/>
      <c r="H16" s="81"/>
      <c r="I16" s="81"/>
      <c r="J16" s="82"/>
      <c r="K16" s="83">
        <f>66800/2/864</f>
        <v>38.657407407407405</v>
      </c>
      <c r="L16" s="81">
        <f>59800/2/864</f>
        <v>34.606481481481481</v>
      </c>
      <c r="M16" s="81">
        <f>63080/2/864</f>
        <v>36.504629629629626</v>
      </c>
      <c r="N16" s="81"/>
      <c r="O16" s="81"/>
      <c r="P16" s="82"/>
      <c r="Q16" s="109"/>
      <c r="R16" s="86"/>
      <c r="S16" s="86"/>
      <c r="T16" s="86"/>
      <c r="U16" s="110"/>
      <c r="V16" s="83"/>
      <c r="W16" s="81"/>
      <c r="X16" s="81"/>
      <c r="Y16" s="81"/>
      <c r="Z16" s="82"/>
      <c r="AA16" s="186"/>
      <c r="AB16" s="87"/>
      <c r="AC16" s="87"/>
      <c r="AD16" s="88"/>
    </row>
    <row r="17" spans="2:30" s="122" customFormat="1" x14ac:dyDescent="0.25">
      <c r="B17" s="278"/>
      <c r="C17" s="51">
        <v>36958</v>
      </c>
      <c r="D17" s="301" t="s">
        <v>18</v>
      </c>
      <c r="E17" s="83">
        <f>138130/2/1121</f>
        <v>61.610169491525426</v>
      </c>
      <c r="F17" s="81">
        <f>131130/2/1121</f>
        <v>58.487957181088312</v>
      </c>
      <c r="G17" s="81">
        <f>129210/2/1121</f>
        <v>57.631578947368418</v>
      </c>
      <c r="H17" s="81">
        <f>129640/2/1121</f>
        <v>57.823371989295275</v>
      </c>
      <c r="I17" s="81"/>
      <c r="J17" s="82"/>
      <c r="K17" s="83"/>
      <c r="L17" s="81"/>
      <c r="M17" s="81"/>
      <c r="N17" s="81"/>
      <c r="O17" s="81">
        <f>61280/2/896.8</f>
        <v>34.165923282783233</v>
      </c>
      <c r="P17" s="82"/>
      <c r="Q17" s="109"/>
      <c r="R17" s="86"/>
      <c r="S17" s="86"/>
      <c r="T17" s="86">
        <f>76610/2/1121</f>
        <v>34.170383586083851</v>
      </c>
      <c r="U17" s="110"/>
      <c r="V17" s="83">
        <f>62870/2/896.8</f>
        <v>35.052408563782336</v>
      </c>
      <c r="W17" s="81"/>
      <c r="X17" s="81"/>
      <c r="Y17" s="81"/>
      <c r="Z17" s="82"/>
      <c r="AA17" s="97">
        <f>78580/2/1121</f>
        <v>35.049063336306865</v>
      </c>
      <c r="AB17" s="81">
        <f>69830/2/1121</f>
        <v>31.146297948260482</v>
      </c>
      <c r="AC17" s="81">
        <f>73670/2/1121</f>
        <v>32.859054415700271</v>
      </c>
      <c r="AD17" s="88"/>
    </row>
    <row r="18" spans="2:30" s="122" customFormat="1" x14ac:dyDescent="0.25">
      <c r="B18" s="278"/>
      <c r="C18" s="51">
        <v>37019</v>
      </c>
      <c r="D18" s="301" t="s">
        <v>19</v>
      </c>
      <c r="E18" s="83">
        <f>138130/2/1107.3</f>
        <v>62.372437460489479</v>
      </c>
      <c r="F18" s="81">
        <f>131130/2/1107.3</f>
        <v>59.21159577350312</v>
      </c>
      <c r="G18" s="81">
        <f>129210/2/1107.3</f>
        <v>58.344622053644002</v>
      </c>
      <c r="H18" s="81">
        <f>129640/2/1107.3</f>
        <v>58.538788042987449</v>
      </c>
      <c r="I18" s="81">
        <f>134430/2/1107.3</f>
        <v>60.701706854510974</v>
      </c>
      <c r="J18" s="82">
        <f>138460/2/1107.3</f>
        <v>62.521448568590266</v>
      </c>
      <c r="K18" s="83"/>
      <c r="L18" s="81"/>
      <c r="M18" s="81"/>
      <c r="N18" s="81"/>
      <c r="O18" s="81"/>
      <c r="P18" s="82"/>
      <c r="Q18" s="83"/>
      <c r="R18" s="81"/>
      <c r="S18" s="81"/>
      <c r="T18" s="81"/>
      <c r="U18" s="82"/>
      <c r="V18" s="83"/>
      <c r="W18" s="81"/>
      <c r="X18" s="81"/>
      <c r="Y18" s="81"/>
      <c r="Z18" s="82"/>
      <c r="AA18" s="186"/>
      <c r="AB18" s="87"/>
      <c r="AC18" s="87"/>
      <c r="AD18" s="88"/>
    </row>
    <row r="19" spans="2:30" s="122" customFormat="1" x14ac:dyDescent="0.25">
      <c r="B19" s="278"/>
      <c r="C19" s="51">
        <v>36970</v>
      </c>
      <c r="D19" s="124" t="s">
        <v>78</v>
      </c>
      <c r="E19" s="83">
        <f>134940/2/1121</f>
        <v>60.187332738626225</v>
      </c>
      <c r="F19" s="81">
        <f>131130/2/1121</f>
        <v>58.487957181088312</v>
      </c>
      <c r="G19" s="81">
        <f>129210/2/1121</f>
        <v>57.631578947368418</v>
      </c>
      <c r="H19" s="81">
        <f>129640/2/1121</f>
        <v>57.823371989295275</v>
      </c>
      <c r="I19" s="81"/>
      <c r="J19" s="82"/>
      <c r="K19" s="83">
        <f>62870/2/896.8</f>
        <v>35.052408563782336</v>
      </c>
      <c r="L19" s="81">
        <f>55870/2/896.8</f>
        <v>31.149643175735953</v>
      </c>
      <c r="M19" s="81">
        <f>58940/2/896.8</f>
        <v>32.86128456735058</v>
      </c>
      <c r="N19" s="81">
        <f>61280/2/896.8</f>
        <v>34.165923282783233</v>
      </c>
      <c r="O19" s="81">
        <f>61280/2/896.8</f>
        <v>34.165923282783233</v>
      </c>
      <c r="P19" s="82"/>
      <c r="Q19" s="83">
        <f>78580/2/1121</f>
        <v>35.049063336306865</v>
      </c>
      <c r="R19" s="81"/>
      <c r="S19" s="81"/>
      <c r="T19" s="81"/>
      <c r="U19" s="82"/>
      <c r="V19" s="83"/>
      <c r="W19" s="81"/>
      <c r="X19" s="81"/>
      <c r="Y19" s="81"/>
      <c r="Z19" s="82"/>
      <c r="AA19" s="97"/>
      <c r="AB19" s="81"/>
      <c r="AC19" s="81"/>
      <c r="AD19" s="82"/>
    </row>
    <row r="20" spans="2:30" s="122" customFormat="1" x14ac:dyDescent="0.25">
      <c r="B20" s="278"/>
      <c r="C20" s="51">
        <v>37333</v>
      </c>
      <c r="D20" s="124" t="s">
        <v>102</v>
      </c>
      <c r="E20" s="83"/>
      <c r="F20" s="81"/>
      <c r="G20" s="81">
        <f>129210/2/1121</f>
        <v>57.631578947368418</v>
      </c>
      <c r="H20" s="81">
        <f>129640/2/1121</f>
        <v>57.823371989295275</v>
      </c>
      <c r="I20" s="81"/>
      <c r="J20" s="82"/>
      <c r="K20" s="83"/>
      <c r="L20" s="81"/>
      <c r="M20" s="81"/>
      <c r="N20" s="81"/>
      <c r="O20" s="81">
        <f>61280/2/896.8</f>
        <v>34.165923282783233</v>
      </c>
      <c r="P20" s="82"/>
      <c r="Q20" s="83"/>
      <c r="R20" s="81"/>
      <c r="S20" s="81"/>
      <c r="T20" s="81"/>
      <c r="U20" s="82"/>
      <c r="V20" s="83"/>
      <c r="W20" s="81"/>
      <c r="X20" s="81"/>
      <c r="Y20" s="81"/>
      <c r="Z20" s="82"/>
      <c r="AA20" s="83"/>
      <c r="AB20" s="81"/>
      <c r="AC20" s="81"/>
      <c r="AD20" s="82"/>
    </row>
    <row r="21" spans="2:30" s="122" customFormat="1" x14ac:dyDescent="0.25">
      <c r="B21" s="278"/>
      <c r="C21" s="51">
        <v>37364</v>
      </c>
      <c r="D21" s="124" t="s">
        <v>103</v>
      </c>
      <c r="E21" s="83"/>
      <c r="F21" s="81"/>
      <c r="G21" s="81"/>
      <c r="H21" s="81"/>
      <c r="I21" s="81"/>
      <c r="J21" s="82"/>
      <c r="K21" s="83"/>
      <c r="L21" s="81"/>
      <c r="M21" s="81"/>
      <c r="N21" s="81"/>
      <c r="O21" s="81"/>
      <c r="P21" s="82"/>
      <c r="Q21" s="83"/>
      <c r="R21" s="81"/>
      <c r="S21" s="81"/>
      <c r="T21" s="81"/>
      <c r="U21" s="82"/>
      <c r="V21" s="97">
        <f>72770/2/864</f>
        <v>42.112268518518519</v>
      </c>
      <c r="W21" s="81">
        <f>65770/2/864</f>
        <v>38.061342592592595</v>
      </c>
      <c r="X21" s="193"/>
      <c r="Y21" s="81"/>
      <c r="Z21" s="82"/>
      <c r="AA21" s="83"/>
      <c r="AB21" s="81"/>
      <c r="AC21" s="81"/>
      <c r="AD21" s="82"/>
    </row>
    <row r="22" spans="2:30" s="122" customFormat="1" x14ac:dyDescent="0.25">
      <c r="B22" s="278"/>
      <c r="C22" s="51">
        <v>37687</v>
      </c>
      <c r="D22" s="301" t="s">
        <v>20</v>
      </c>
      <c r="E22" s="83">
        <f>138130/2/1112.8</f>
        <v>62.06416247304098</v>
      </c>
      <c r="F22" s="81">
        <f>131130/2/1112.8</f>
        <v>58.918943206326389</v>
      </c>
      <c r="G22" s="81">
        <f>129210/2/1112.8</f>
        <v>58.056254493170385</v>
      </c>
      <c r="H22" s="81">
        <f>129640/2/1112.8</f>
        <v>58.24946081955428</v>
      </c>
      <c r="I22" s="81">
        <f>134430/2/1112.8</f>
        <v>60.401689432063264</v>
      </c>
      <c r="J22" s="82"/>
      <c r="K22" s="83"/>
      <c r="L22" s="81"/>
      <c r="M22" s="81"/>
      <c r="N22" s="81"/>
      <c r="O22" s="81"/>
      <c r="P22" s="82"/>
      <c r="Q22" s="83"/>
      <c r="R22" s="81"/>
      <c r="S22" s="81"/>
      <c r="T22" s="81"/>
      <c r="U22" s="82"/>
      <c r="V22" s="83"/>
      <c r="W22" s="81"/>
      <c r="X22" s="81"/>
      <c r="Y22" s="81"/>
      <c r="Z22" s="82"/>
      <c r="AA22" s="108"/>
      <c r="AB22" s="87"/>
      <c r="AC22" s="87"/>
      <c r="AD22" s="88"/>
    </row>
    <row r="23" spans="2:30" s="122" customFormat="1" x14ac:dyDescent="0.25">
      <c r="B23" s="278"/>
      <c r="C23" s="51">
        <v>36957</v>
      </c>
      <c r="D23" s="301" t="s">
        <v>21</v>
      </c>
      <c r="E23" s="83">
        <f>138130/2/1112.8</f>
        <v>62.06416247304098</v>
      </c>
      <c r="F23" s="81">
        <f>131130/2/1112.8</f>
        <v>58.918943206326389</v>
      </c>
      <c r="G23" s="81">
        <f>129210/2/1112.8</f>
        <v>58.056254493170385</v>
      </c>
      <c r="H23" s="81">
        <f>129640/2/1112.8</f>
        <v>58.24946081955428</v>
      </c>
      <c r="I23" s="81">
        <f>134430/2/1112.8</f>
        <v>60.401689432063264</v>
      </c>
      <c r="J23" s="82"/>
      <c r="K23" s="83"/>
      <c r="L23" s="81"/>
      <c r="M23" s="81"/>
      <c r="N23" s="81"/>
      <c r="O23" s="81"/>
      <c r="P23" s="82"/>
      <c r="Q23" s="83"/>
      <c r="R23" s="81"/>
      <c r="S23" s="81"/>
      <c r="T23" s="81"/>
      <c r="U23" s="82"/>
      <c r="V23" s="83"/>
      <c r="W23" s="81"/>
      <c r="X23" s="81"/>
      <c r="Y23" s="81"/>
      <c r="Z23" s="82"/>
      <c r="AA23" s="108"/>
      <c r="AB23" s="87"/>
      <c r="AC23" s="87"/>
      <c r="AD23" s="88"/>
    </row>
    <row r="24" spans="2:30" s="122" customFormat="1" x14ac:dyDescent="0.25">
      <c r="B24" s="278"/>
      <c r="C24" s="51">
        <v>36989</v>
      </c>
      <c r="D24" s="124" t="s">
        <v>22</v>
      </c>
      <c r="E24" s="83">
        <f>146660/2/1080</f>
        <v>67.898148148148152</v>
      </c>
      <c r="F24" s="81">
        <f>139660/2/1080</f>
        <v>64.657407407407405</v>
      </c>
      <c r="G24" s="81"/>
      <c r="H24" s="81"/>
      <c r="I24" s="81"/>
      <c r="J24" s="82"/>
      <c r="K24" s="83">
        <f>66800/2/864</f>
        <v>38.657407407407405</v>
      </c>
      <c r="L24" s="81">
        <f>59800/2/864</f>
        <v>34.606481481481481</v>
      </c>
      <c r="M24" s="81">
        <f>63080/2/864</f>
        <v>36.504629629629626</v>
      </c>
      <c r="N24" s="81"/>
      <c r="O24" s="81"/>
      <c r="P24" s="82"/>
      <c r="Q24" s="83"/>
      <c r="R24" s="81"/>
      <c r="S24" s="81"/>
      <c r="T24" s="81"/>
      <c r="U24" s="82"/>
      <c r="V24" s="83"/>
      <c r="W24" s="81"/>
      <c r="X24" s="81"/>
      <c r="Y24" s="81"/>
      <c r="Z24" s="82"/>
      <c r="AA24" s="108"/>
      <c r="AB24" s="87"/>
      <c r="AC24" s="87"/>
      <c r="AD24" s="88"/>
    </row>
    <row r="25" spans="2:30" s="122" customFormat="1" ht="15.75" thickBot="1" x14ac:dyDescent="0.3">
      <c r="B25" s="292"/>
      <c r="C25" s="56">
        <v>36988</v>
      </c>
      <c r="D25" s="126" t="s">
        <v>135</v>
      </c>
      <c r="E25" s="89">
        <f>146660/2/1080</f>
        <v>67.898148148148152</v>
      </c>
      <c r="F25" s="84">
        <f>139660/2/1080</f>
        <v>64.657407407407405</v>
      </c>
      <c r="G25" s="84"/>
      <c r="H25" s="84"/>
      <c r="I25" s="84"/>
      <c r="J25" s="85"/>
      <c r="K25" s="89"/>
      <c r="L25" s="84"/>
      <c r="M25" s="84"/>
      <c r="N25" s="84"/>
      <c r="O25" s="84"/>
      <c r="P25" s="85"/>
      <c r="Q25" s="89"/>
      <c r="R25" s="84"/>
      <c r="S25" s="84"/>
      <c r="T25" s="84"/>
      <c r="U25" s="85"/>
      <c r="V25" s="188"/>
      <c r="W25" s="187"/>
      <c r="X25" s="187"/>
      <c r="Y25" s="187"/>
      <c r="Z25" s="189"/>
      <c r="AA25" s="111"/>
      <c r="AB25" s="90"/>
      <c r="AC25" s="90"/>
      <c r="AD25" s="91"/>
    </row>
    <row r="26" spans="2:30" s="122" customFormat="1" ht="15.75" customHeight="1" thickBot="1" x14ac:dyDescent="0.3">
      <c r="B26" s="277" t="s">
        <v>118</v>
      </c>
      <c r="C26" s="107" t="s">
        <v>26</v>
      </c>
      <c r="D26" s="149" t="s">
        <v>60</v>
      </c>
      <c r="E26" s="302">
        <f>229290/2/1121</f>
        <v>102.27029438001784</v>
      </c>
      <c r="F26" s="92">
        <f>224850/2/1121</f>
        <v>100.28991971454059</v>
      </c>
      <c r="G26" s="92">
        <f>220290/2/1121</f>
        <v>98.25602140945584</v>
      </c>
      <c r="H26" s="92">
        <f>219400/2/1121</f>
        <v>97.859054415700271</v>
      </c>
      <c r="I26" s="92"/>
      <c r="J26" s="93"/>
      <c r="K26" s="97"/>
      <c r="L26" s="81"/>
      <c r="M26" s="81"/>
      <c r="N26" s="81"/>
      <c r="O26" s="81">
        <f>73780/2/896.8</f>
        <v>41.135147190008922</v>
      </c>
      <c r="P26" s="95"/>
      <c r="Q26" s="92"/>
      <c r="R26" s="92"/>
      <c r="S26" s="92"/>
      <c r="T26" s="92"/>
      <c r="U26" s="92"/>
      <c r="V26" s="303">
        <f>76980/2/896.8</f>
        <v>42.919268510258696</v>
      </c>
      <c r="W26" s="304">
        <f>69980/2/896.8</f>
        <v>39.016503122212313</v>
      </c>
      <c r="X26" s="304">
        <f>73820/2/896.8</f>
        <v>41.157448706512042</v>
      </c>
      <c r="Y26" s="304">
        <f>76770/2/896.8</f>
        <v>42.80218554861731</v>
      </c>
      <c r="Z26" s="244"/>
      <c r="AA26" s="97">
        <f>96220/2/1121</f>
        <v>42.917038358608387</v>
      </c>
      <c r="AB26" s="92"/>
      <c r="AC26" s="92"/>
      <c r="AD26" s="95"/>
    </row>
    <row r="27" spans="2:30" s="122" customFormat="1" ht="15.75" thickBot="1" x14ac:dyDescent="0.3">
      <c r="B27" s="277"/>
      <c r="C27" s="53">
        <v>36959</v>
      </c>
      <c r="D27" s="124" t="s">
        <v>49</v>
      </c>
      <c r="E27" s="193">
        <f>138130/2/1121</f>
        <v>61.610169491525426</v>
      </c>
      <c r="F27" s="81">
        <f>131130/2/1121</f>
        <v>58.487957181088312</v>
      </c>
      <c r="G27" s="81">
        <f>129210/2/1121</f>
        <v>57.631578947368418</v>
      </c>
      <c r="H27" s="81">
        <f>129640/2/1121</f>
        <v>57.823371989295275</v>
      </c>
      <c r="I27" s="81"/>
      <c r="J27" s="96"/>
      <c r="K27" s="97">
        <f>62870/2/896.8</f>
        <v>35.052408563782336</v>
      </c>
      <c r="L27" s="81">
        <f>55870/2/896.8</f>
        <v>31.149643175735953</v>
      </c>
      <c r="M27" s="81">
        <f>58940/2/896.8</f>
        <v>32.86128456735058</v>
      </c>
      <c r="N27" s="81">
        <f>61280/2/896.8</f>
        <v>34.165923282783233</v>
      </c>
      <c r="O27" s="81"/>
      <c r="P27" s="82"/>
      <c r="Q27" s="81">
        <f>78580/2/1121</f>
        <v>35.049063336306865</v>
      </c>
      <c r="R27" s="81"/>
      <c r="S27" s="81"/>
      <c r="T27" s="81"/>
      <c r="U27" s="81"/>
      <c r="V27" s="83"/>
      <c r="W27" s="81"/>
      <c r="X27" s="81"/>
      <c r="Y27" s="81"/>
      <c r="Z27" s="82"/>
      <c r="AA27" s="83"/>
      <c r="AB27" s="81"/>
      <c r="AC27" s="81"/>
      <c r="AD27" s="82"/>
    </row>
    <row r="28" spans="2:30" s="122" customFormat="1" ht="15.75" thickBot="1" x14ac:dyDescent="0.3">
      <c r="B28" s="277"/>
      <c r="C28" s="51">
        <v>36990</v>
      </c>
      <c r="D28" s="124" t="s">
        <v>50</v>
      </c>
      <c r="E28" s="193">
        <f>146660/2/1080</f>
        <v>67.898148148148152</v>
      </c>
      <c r="F28" s="81">
        <f>139660/2/1080</f>
        <v>64.657407407407405</v>
      </c>
      <c r="G28" s="81"/>
      <c r="H28" s="81"/>
      <c r="I28" s="81"/>
      <c r="J28" s="96"/>
      <c r="K28" s="97"/>
      <c r="L28" s="81"/>
      <c r="M28" s="81"/>
      <c r="N28" s="81"/>
      <c r="O28" s="81"/>
      <c r="P28" s="82"/>
      <c r="Q28" s="83"/>
      <c r="R28" s="81"/>
      <c r="S28" s="81"/>
      <c r="T28" s="81"/>
      <c r="U28" s="81"/>
      <c r="V28" s="83"/>
      <c r="W28" s="81"/>
      <c r="X28" s="81"/>
      <c r="Y28" s="81"/>
      <c r="Z28" s="82"/>
      <c r="AA28" s="97"/>
      <c r="AB28" s="81"/>
      <c r="AC28" s="81"/>
      <c r="AD28" s="82"/>
    </row>
    <row r="29" spans="2:30" s="122" customFormat="1" ht="15.75" thickBot="1" x14ac:dyDescent="0.3">
      <c r="B29" s="277"/>
      <c r="C29" s="53">
        <v>37324</v>
      </c>
      <c r="D29" s="124" t="s">
        <v>63</v>
      </c>
      <c r="E29" s="193">
        <f>138130/2/1121</f>
        <v>61.610169491525426</v>
      </c>
      <c r="F29" s="81">
        <f>131130/2/1121</f>
        <v>58.487957181088312</v>
      </c>
      <c r="G29" s="81">
        <f>129210/2/1121</f>
        <v>57.631578947368418</v>
      </c>
      <c r="H29" s="81">
        <f>129640/2/1121</f>
        <v>57.823371989295275</v>
      </c>
      <c r="I29" s="81"/>
      <c r="J29" s="96"/>
      <c r="K29" s="97">
        <f>62870/2/896.8</f>
        <v>35.052408563782336</v>
      </c>
      <c r="L29" s="81">
        <f>55870/2/896.8</f>
        <v>31.149643175735953</v>
      </c>
      <c r="M29" s="81">
        <f>58940/2/896.8</f>
        <v>32.86128456735058</v>
      </c>
      <c r="N29" s="81">
        <f>61280/2/896.8</f>
        <v>34.165923282783233</v>
      </c>
      <c r="O29" s="81">
        <f>61280/2/896.8</f>
        <v>34.165923282783233</v>
      </c>
      <c r="P29" s="82"/>
      <c r="Q29" s="81">
        <f>78580/2/1121</f>
        <v>35.049063336306865</v>
      </c>
      <c r="R29" s="81">
        <f>69830/2/1121</f>
        <v>31.146297948260482</v>
      </c>
      <c r="S29" s="81">
        <f>73670/2/1121</f>
        <v>32.859054415700271</v>
      </c>
      <c r="T29" s="81">
        <f>76610/2/1121</f>
        <v>34.170383586083851</v>
      </c>
      <c r="U29" s="81"/>
      <c r="V29" s="97"/>
      <c r="W29" s="81"/>
      <c r="X29" s="96"/>
      <c r="Y29" s="81"/>
      <c r="Z29" s="98"/>
      <c r="AA29" s="97"/>
      <c r="AB29" s="81"/>
      <c r="AC29" s="81"/>
      <c r="AD29" s="98"/>
    </row>
    <row r="30" spans="2:30" s="122" customFormat="1" ht="15.75" thickBot="1" x14ac:dyDescent="0.3">
      <c r="B30" s="277"/>
      <c r="C30" s="51">
        <v>37355</v>
      </c>
      <c r="D30" s="124" t="s">
        <v>64</v>
      </c>
      <c r="E30" s="193">
        <f>146660/2/1080</f>
        <v>67.898148148148152</v>
      </c>
      <c r="F30" s="81">
        <f>139660/2/1080</f>
        <v>64.657407407407405</v>
      </c>
      <c r="G30" s="81"/>
      <c r="H30" s="81"/>
      <c r="I30" s="81"/>
      <c r="J30" s="96"/>
      <c r="K30" s="83"/>
      <c r="L30" s="81"/>
      <c r="M30" s="81"/>
      <c r="N30" s="81"/>
      <c r="O30" s="81"/>
      <c r="P30" s="82"/>
      <c r="Q30" s="83"/>
      <c r="R30" s="81"/>
      <c r="S30" s="81"/>
      <c r="T30" s="81"/>
      <c r="U30" s="81"/>
      <c r="V30" s="83"/>
      <c r="W30" s="81"/>
      <c r="X30" s="81"/>
      <c r="Y30" s="81"/>
      <c r="Z30" s="82"/>
      <c r="AA30" s="97"/>
      <c r="AB30" s="81"/>
      <c r="AC30" s="81"/>
      <c r="AD30" s="82"/>
    </row>
    <row r="31" spans="2:30" s="122" customFormat="1" ht="15.75" thickBot="1" x14ac:dyDescent="0.3">
      <c r="B31" s="277"/>
      <c r="C31" s="53">
        <v>38055</v>
      </c>
      <c r="D31" s="124" t="s">
        <v>65</v>
      </c>
      <c r="E31" s="193">
        <f>138130/2/1121</f>
        <v>61.610169491525426</v>
      </c>
      <c r="F31" s="81">
        <f>131130/2/1121</f>
        <v>58.487957181088312</v>
      </c>
      <c r="G31" s="81">
        <f>129210/2/1121</f>
        <v>57.631578947368418</v>
      </c>
      <c r="H31" s="81">
        <f>129640/2/1121</f>
        <v>57.823371989295275</v>
      </c>
      <c r="I31" s="81"/>
      <c r="J31" s="96"/>
      <c r="K31" s="83"/>
      <c r="L31" s="81"/>
      <c r="M31" s="81"/>
      <c r="N31" s="81"/>
      <c r="O31" s="81"/>
      <c r="P31" s="82"/>
      <c r="Q31" s="83"/>
      <c r="R31" s="81"/>
      <c r="S31" s="81"/>
      <c r="T31" s="81"/>
      <c r="U31" s="81"/>
      <c r="V31" s="83"/>
      <c r="W31" s="81"/>
      <c r="X31" s="81"/>
      <c r="Y31" s="81"/>
      <c r="Z31" s="82"/>
      <c r="AA31" s="97"/>
      <c r="AB31" s="81"/>
      <c r="AC31" s="81"/>
      <c r="AD31" s="82"/>
    </row>
    <row r="32" spans="2:30" s="122" customFormat="1" ht="15.75" thickBot="1" x14ac:dyDescent="0.3">
      <c r="B32" s="277"/>
      <c r="C32" s="53">
        <v>38086</v>
      </c>
      <c r="D32" s="124" t="s">
        <v>121</v>
      </c>
      <c r="E32" s="193">
        <f>146660/2/1080</f>
        <v>67.898148148148152</v>
      </c>
      <c r="F32" s="81">
        <f>139660/2/1080</f>
        <v>64.657407407407405</v>
      </c>
      <c r="G32" s="81"/>
      <c r="H32" s="81"/>
      <c r="I32" s="81"/>
      <c r="J32" s="96"/>
      <c r="K32" s="83"/>
      <c r="L32" s="81"/>
      <c r="M32" s="81"/>
      <c r="N32" s="81"/>
      <c r="O32" s="81"/>
      <c r="P32" s="82"/>
      <c r="Q32" s="83"/>
      <c r="R32" s="81"/>
      <c r="S32" s="81"/>
      <c r="T32" s="81"/>
      <c r="U32" s="81"/>
      <c r="V32" s="83"/>
      <c r="W32" s="81"/>
      <c r="X32" s="81"/>
      <c r="Y32" s="81"/>
      <c r="Z32" s="82"/>
      <c r="AA32" s="97"/>
      <c r="AB32" s="81"/>
      <c r="AC32" s="81"/>
      <c r="AD32" s="82"/>
    </row>
    <row r="33" spans="2:30" s="122" customFormat="1" ht="14.25" customHeight="1" thickBot="1" x14ac:dyDescent="0.3">
      <c r="B33" s="277"/>
      <c r="C33" s="53">
        <v>37689</v>
      </c>
      <c r="D33" s="124" t="s">
        <v>66</v>
      </c>
      <c r="E33" s="193">
        <f>138130/2/1121</f>
        <v>61.610169491525426</v>
      </c>
      <c r="F33" s="81">
        <f>131130/2/1121</f>
        <v>58.487957181088312</v>
      </c>
      <c r="G33" s="81">
        <f>129210/2/1121</f>
        <v>57.631578947368418</v>
      </c>
      <c r="H33" s="81">
        <f>129640/2/1121</f>
        <v>57.823371989295275</v>
      </c>
      <c r="I33" s="81"/>
      <c r="J33" s="96"/>
      <c r="K33" s="97">
        <f>62870/2/896.8</f>
        <v>35.052408563782336</v>
      </c>
      <c r="L33" s="81">
        <f>55870/2/896.8</f>
        <v>31.149643175735953</v>
      </c>
      <c r="M33" s="81"/>
      <c r="N33" s="81"/>
      <c r="O33" s="81"/>
      <c r="P33" s="82"/>
      <c r="Q33" s="81">
        <f>78580/2/1121</f>
        <v>35.049063336306865</v>
      </c>
      <c r="R33" s="81"/>
      <c r="S33" s="81"/>
      <c r="T33" s="81"/>
      <c r="U33" s="81"/>
      <c r="V33" s="83"/>
      <c r="W33" s="81"/>
      <c r="X33" s="81"/>
      <c r="Y33" s="81"/>
      <c r="Z33" s="82"/>
      <c r="AA33" s="97"/>
      <c r="AB33" s="81"/>
      <c r="AC33" s="81"/>
      <c r="AD33" s="82"/>
    </row>
    <row r="34" spans="2:30" s="122" customFormat="1" ht="15.75" thickBot="1" x14ac:dyDescent="0.3">
      <c r="B34" s="277"/>
      <c r="C34" s="51">
        <v>37720</v>
      </c>
      <c r="D34" s="124" t="s">
        <v>67</v>
      </c>
      <c r="E34" s="193">
        <f>146660/2/1080</f>
        <v>67.898148148148152</v>
      </c>
      <c r="F34" s="81">
        <f>139660/2/1080</f>
        <v>64.657407407407405</v>
      </c>
      <c r="G34" s="81"/>
      <c r="H34" s="81"/>
      <c r="I34" s="81"/>
      <c r="J34" s="96"/>
      <c r="K34" s="83"/>
      <c r="L34" s="81"/>
      <c r="M34" s="81"/>
      <c r="N34" s="81"/>
      <c r="O34" s="81"/>
      <c r="P34" s="82"/>
      <c r="Q34" s="83"/>
      <c r="R34" s="81"/>
      <c r="S34" s="81"/>
      <c r="T34" s="81"/>
      <c r="U34" s="81"/>
      <c r="V34" s="97"/>
      <c r="W34" s="6"/>
      <c r="X34" s="81"/>
      <c r="Y34" s="81"/>
      <c r="Z34" s="82"/>
      <c r="AA34" s="97"/>
      <c r="AB34" s="81"/>
      <c r="AC34" s="81"/>
      <c r="AD34" s="82"/>
    </row>
    <row r="35" spans="2:30" s="122" customFormat="1" ht="15.75" thickBot="1" x14ac:dyDescent="0.3">
      <c r="B35" s="277"/>
      <c r="C35" s="53" t="s">
        <v>27</v>
      </c>
      <c r="D35" s="124" t="s">
        <v>68</v>
      </c>
      <c r="E35" s="193">
        <f>120120/2/1121</f>
        <v>53.577163247100806</v>
      </c>
      <c r="F35" s="81">
        <f>113120/2/1121</f>
        <v>50.454950936663693</v>
      </c>
      <c r="G35" s="81">
        <f>113720/2/1121</f>
        <v>50.72256913470116</v>
      </c>
      <c r="H35" s="81">
        <f>118270/2/1121</f>
        <v>52.752007136485283</v>
      </c>
      <c r="I35" s="81"/>
      <c r="J35" s="96"/>
      <c r="K35" s="83">
        <f>62870/2/896.8</f>
        <v>35.052408563782336</v>
      </c>
      <c r="L35" s="81">
        <f>55870/2/896.8</f>
        <v>31.149643175735953</v>
      </c>
      <c r="M35" s="81">
        <f>58940/2/896.8</f>
        <v>32.86128456735058</v>
      </c>
      <c r="N35" s="81">
        <f>61280/2/896.8</f>
        <v>34.165923282783233</v>
      </c>
      <c r="O35" s="81">
        <f>61280/2/896.8</f>
        <v>34.165923282783233</v>
      </c>
      <c r="P35" s="82"/>
      <c r="Q35" s="81">
        <f>78580/2/1121</f>
        <v>35.049063336306865</v>
      </c>
      <c r="R35" s="81"/>
      <c r="S35" s="81"/>
      <c r="T35" s="81"/>
      <c r="U35" s="81"/>
      <c r="V35" s="83"/>
      <c r="W35" s="81"/>
      <c r="X35" s="81"/>
      <c r="Y35" s="81"/>
      <c r="Z35" s="82"/>
      <c r="AA35" s="97"/>
      <c r="AB35" s="81"/>
      <c r="AC35" s="81"/>
      <c r="AD35" s="82"/>
    </row>
    <row r="36" spans="2:30" s="122" customFormat="1" ht="15.75" thickBot="1" x14ac:dyDescent="0.3">
      <c r="B36" s="277"/>
      <c r="C36" s="51" t="s">
        <v>28</v>
      </c>
      <c r="D36" s="124" t="s">
        <v>69</v>
      </c>
      <c r="E36" s="193">
        <f>128720/2/1080</f>
        <v>59.592592592592595</v>
      </c>
      <c r="F36" s="81">
        <f>121720/2/1080</f>
        <v>56.351851851851855</v>
      </c>
      <c r="G36" s="81"/>
      <c r="H36" s="81"/>
      <c r="I36" s="81"/>
      <c r="J36" s="96"/>
      <c r="K36" s="83"/>
      <c r="L36" s="81"/>
      <c r="M36" s="81"/>
      <c r="N36" s="81"/>
      <c r="O36" s="81"/>
      <c r="P36" s="82"/>
      <c r="Q36" s="83"/>
      <c r="R36" s="81"/>
      <c r="S36" s="81"/>
      <c r="T36" s="81"/>
      <c r="U36" s="81"/>
      <c r="V36" s="97"/>
      <c r="W36" s="81"/>
      <c r="X36" s="81"/>
      <c r="Y36" s="81"/>
      <c r="Z36" s="82"/>
      <c r="AA36" s="97"/>
      <c r="AB36" s="81"/>
      <c r="AC36" s="81"/>
      <c r="AD36" s="82"/>
    </row>
    <row r="37" spans="2:30" s="122" customFormat="1" ht="15.75" thickBot="1" x14ac:dyDescent="0.3">
      <c r="B37" s="277"/>
      <c r="C37" s="54" t="s">
        <v>29</v>
      </c>
      <c r="D37" s="126" t="s">
        <v>70</v>
      </c>
      <c r="E37" s="305">
        <f>120120/2/1121</f>
        <v>53.577163247100806</v>
      </c>
      <c r="F37" s="306">
        <f>113120/2/1121</f>
        <v>50.454950936663693</v>
      </c>
      <c r="G37" s="84">
        <f>113720/2/1121</f>
        <v>50.72256913470116</v>
      </c>
      <c r="H37" s="84">
        <f>118270/2/1121</f>
        <v>52.752007136485283</v>
      </c>
      <c r="I37" s="84"/>
      <c r="J37" s="99"/>
      <c r="K37" s="89"/>
      <c r="L37" s="84"/>
      <c r="M37" s="84"/>
      <c r="N37" s="84"/>
      <c r="O37" s="84"/>
      <c r="P37" s="85"/>
      <c r="Q37" s="89"/>
      <c r="R37" s="84"/>
      <c r="S37" s="84"/>
      <c r="T37" s="84"/>
      <c r="U37" s="84"/>
      <c r="V37" s="89"/>
      <c r="W37" s="84"/>
      <c r="X37" s="84"/>
      <c r="Y37" s="84"/>
      <c r="Z37" s="85"/>
      <c r="AA37" s="89"/>
      <c r="AB37" s="84"/>
      <c r="AC37" s="84"/>
      <c r="AD37" s="85"/>
    </row>
    <row r="38" spans="2:30" s="122" customFormat="1" ht="15.75" customHeight="1" thickBot="1" x14ac:dyDescent="0.3">
      <c r="B38" s="277" t="s">
        <v>34</v>
      </c>
      <c r="C38" s="50">
        <v>37316</v>
      </c>
      <c r="D38" s="123" t="s">
        <v>99</v>
      </c>
      <c r="E38" s="307">
        <f>120120/2/1121</f>
        <v>53.577163247100806</v>
      </c>
      <c r="F38" s="7">
        <f>113120/2/1121</f>
        <v>50.454950936663693</v>
      </c>
      <c r="G38" s="7">
        <f>110950/2/1121</f>
        <v>49.487065120428191</v>
      </c>
      <c r="H38" s="7">
        <f>111080/2/1121</f>
        <v>49.545049063336307</v>
      </c>
      <c r="I38" s="7"/>
      <c r="J38" s="8"/>
      <c r="K38" s="9"/>
      <c r="L38" s="7"/>
      <c r="M38" s="7"/>
      <c r="N38" s="7"/>
      <c r="O38" s="7"/>
      <c r="P38" s="8"/>
      <c r="Q38" s="9"/>
      <c r="R38" s="7"/>
      <c r="S38" s="7"/>
      <c r="T38" s="7"/>
      <c r="U38" s="7"/>
      <c r="V38" s="105"/>
      <c r="W38" s="153"/>
      <c r="X38" s="153"/>
      <c r="Y38" s="153"/>
      <c r="Z38" s="106"/>
      <c r="AA38" s="153"/>
      <c r="AB38" s="153"/>
      <c r="AC38" s="153"/>
      <c r="AD38" s="106"/>
    </row>
    <row r="39" spans="2:30" s="122" customFormat="1" ht="15.75" thickBot="1" x14ac:dyDescent="0.3">
      <c r="B39" s="277"/>
      <c r="C39" s="51">
        <v>37347</v>
      </c>
      <c r="D39" s="124" t="s">
        <v>76</v>
      </c>
      <c r="E39" s="13">
        <f>128720/2/1080</f>
        <v>59.592592592592595</v>
      </c>
      <c r="F39" s="81">
        <f>121720/2/1080</f>
        <v>56.351851851851855</v>
      </c>
      <c r="G39" s="14"/>
      <c r="H39" s="14"/>
      <c r="I39" s="14"/>
      <c r="J39" s="15"/>
      <c r="K39" s="132"/>
      <c r="L39" s="14"/>
      <c r="M39" s="14"/>
      <c r="N39" s="14"/>
      <c r="O39" s="14"/>
      <c r="P39" s="15"/>
      <c r="Q39" s="132"/>
      <c r="R39" s="14"/>
      <c r="S39" s="14"/>
      <c r="T39" s="14"/>
      <c r="U39" s="14"/>
      <c r="V39" s="44"/>
      <c r="W39" s="131"/>
      <c r="X39" s="131"/>
      <c r="Y39" s="131"/>
      <c r="Z39" s="47"/>
      <c r="AA39" s="131"/>
      <c r="AB39" s="131"/>
      <c r="AC39" s="131"/>
      <c r="AD39" s="47"/>
    </row>
    <row r="40" spans="2:30" s="122" customFormat="1" ht="15.75" thickBot="1" x14ac:dyDescent="0.3">
      <c r="B40" s="277"/>
      <c r="C40" s="51">
        <v>37707</v>
      </c>
      <c r="D40" s="124" t="s">
        <v>77</v>
      </c>
      <c r="E40" s="13">
        <f>134940/2/1121</f>
        <v>60.187332738626225</v>
      </c>
      <c r="F40" s="14">
        <f>131130/2/1121</f>
        <v>58.487957181088312</v>
      </c>
      <c r="G40" s="14">
        <f>129210/2/1121</f>
        <v>57.631578947368418</v>
      </c>
      <c r="H40" s="14">
        <f>129640/2/1121</f>
        <v>57.823371989295275</v>
      </c>
      <c r="I40" s="14"/>
      <c r="J40" s="15"/>
      <c r="K40" s="132"/>
      <c r="L40" s="14"/>
      <c r="M40" s="14"/>
      <c r="N40" s="14"/>
      <c r="O40" s="14"/>
      <c r="P40" s="15"/>
      <c r="Q40" s="132"/>
      <c r="R40" s="14"/>
      <c r="S40" s="14"/>
      <c r="T40" s="14"/>
      <c r="U40" s="14"/>
      <c r="V40" s="44"/>
      <c r="W40" s="131"/>
      <c r="X40" s="131"/>
      <c r="Y40" s="131"/>
      <c r="Z40" s="47"/>
      <c r="AA40" s="131"/>
      <c r="AB40" s="131"/>
      <c r="AC40" s="131"/>
      <c r="AD40" s="47"/>
    </row>
    <row r="41" spans="2:30" s="122" customFormat="1" ht="15.75" thickBot="1" x14ac:dyDescent="0.3">
      <c r="B41" s="277"/>
      <c r="C41" s="51">
        <v>36966</v>
      </c>
      <c r="D41" s="124" t="s">
        <v>100</v>
      </c>
      <c r="E41" s="13">
        <f>163160/2/1121</f>
        <v>72.77430865298841</v>
      </c>
      <c r="F41" s="14">
        <f>162170/2/1121</f>
        <v>72.332738626226586</v>
      </c>
      <c r="G41" s="14">
        <f>171080/2/1121</f>
        <v>76.306868867082969</v>
      </c>
      <c r="H41" s="14">
        <f>177920/2/1121</f>
        <v>79.357716324710083</v>
      </c>
      <c r="I41" s="14"/>
      <c r="J41" s="15"/>
      <c r="K41" s="43"/>
      <c r="L41" s="14"/>
      <c r="M41" s="14"/>
      <c r="N41" s="14"/>
      <c r="O41" s="14"/>
      <c r="P41" s="15"/>
      <c r="Q41" s="43"/>
      <c r="R41" s="14"/>
      <c r="S41" s="14"/>
      <c r="T41" s="14"/>
      <c r="U41" s="14"/>
      <c r="V41" s="44"/>
      <c r="W41" s="131"/>
      <c r="X41" s="131"/>
      <c r="Y41" s="131"/>
      <c r="Z41" s="47"/>
      <c r="AA41" s="131"/>
      <c r="AB41" s="131"/>
      <c r="AC41" s="131"/>
      <c r="AD41" s="47"/>
    </row>
    <row r="42" spans="2:30" s="122" customFormat="1" ht="15.75" thickBot="1" x14ac:dyDescent="0.3">
      <c r="B42" s="277"/>
      <c r="C42" s="51">
        <v>36997</v>
      </c>
      <c r="D42" s="124" t="s">
        <v>101</v>
      </c>
      <c r="E42" s="13">
        <f>171460/2/1080</f>
        <v>79.379629629629633</v>
      </c>
      <c r="F42" s="81">
        <f>171340/2/1080</f>
        <v>79.324074074074076</v>
      </c>
      <c r="G42" s="14"/>
      <c r="H42" s="14"/>
      <c r="I42" s="20"/>
      <c r="J42" s="15"/>
      <c r="K42" s="43"/>
      <c r="L42" s="14"/>
      <c r="M42" s="14"/>
      <c r="N42" s="14"/>
      <c r="O42" s="14"/>
      <c r="P42" s="15"/>
      <c r="Q42" s="43"/>
      <c r="R42" s="14"/>
      <c r="S42" s="14"/>
      <c r="T42" s="14"/>
      <c r="U42" s="14"/>
      <c r="V42" s="44"/>
      <c r="W42" s="131"/>
      <c r="X42" s="131"/>
      <c r="Y42" s="131"/>
      <c r="Z42" s="47"/>
      <c r="AA42" s="131"/>
      <c r="AB42" s="131"/>
      <c r="AC42" s="131"/>
      <c r="AD42" s="47"/>
    </row>
    <row r="43" spans="2:30" s="122" customFormat="1" ht="15.75" thickBot="1" x14ac:dyDescent="0.3">
      <c r="B43" s="277"/>
      <c r="C43" s="51">
        <v>36968</v>
      </c>
      <c r="D43" s="124" t="s">
        <v>79</v>
      </c>
      <c r="E43" s="13">
        <f>134940/2/1121</f>
        <v>60.187332738626225</v>
      </c>
      <c r="F43" s="14">
        <f>131130/2/1121</f>
        <v>58.487957181088312</v>
      </c>
      <c r="G43" s="14">
        <f>129210/2/1121</f>
        <v>57.631578947368418</v>
      </c>
      <c r="H43" s="14">
        <f>129640/2/1121</f>
        <v>57.823371989295275</v>
      </c>
      <c r="I43" s="14"/>
      <c r="J43" s="15"/>
      <c r="K43" s="132"/>
      <c r="L43" s="14"/>
      <c r="M43" s="14"/>
      <c r="N43" s="14"/>
      <c r="O43" s="14"/>
      <c r="P43" s="15"/>
      <c r="Q43" s="132"/>
      <c r="R43" s="14"/>
      <c r="S43" s="14"/>
      <c r="T43" s="14"/>
      <c r="U43" s="14"/>
      <c r="V43" s="44"/>
      <c r="W43" s="131"/>
      <c r="X43" s="131"/>
      <c r="Y43" s="131"/>
      <c r="Z43" s="47"/>
      <c r="AA43" s="131"/>
      <c r="AB43" s="131"/>
      <c r="AC43" s="131"/>
      <c r="AD43" s="47"/>
    </row>
    <row r="44" spans="2:30" s="122" customFormat="1" ht="15.75" thickBot="1" x14ac:dyDescent="0.3">
      <c r="B44" s="277"/>
      <c r="C44" s="56">
        <v>36999</v>
      </c>
      <c r="D44" s="126" t="s">
        <v>80</v>
      </c>
      <c r="E44" s="20">
        <f>143770/2/1080</f>
        <v>66.56018518518519</v>
      </c>
      <c r="F44" s="20"/>
      <c r="G44" s="20"/>
      <c r="H44" s="20"/>
      <c r="I44" s="20"/>
      <c r="J44" s="21"/>
      <c r="K44" s="20"/>
      <c r="L44" s="20"/>
      <c r="M44" s="16"/>
      <c r="N44" s="20"/>
      <c r="O44" s="20"/>
      <c r="P44" s="21"/>
      <c r="Q44" s="22"/>
      <c r="R44" s="20"/>
      <c r="S44" s="20"/>
      <c r="T44" s="20"/>
      <c r="U44" s="20"/>
      <c r="V44" s="22"/>
      <c r="W44" s="20"/>
      <c r="X44" s="20"/>
      <c r="Y44" s="154"/>
      <c r="Z44" s="48"/>
      <c r="AA44" s="20"/>
      <c r="AB44" s="20"/>
      <c r="AC44" s="154"/>
      <c r="AD44" s="48"/>
    </row>
    <row r="45" spans="2:30" s="122" customFormat="1" ht="15" customHeight="1" x14ac:dyDescent="0.25">
      <c r="B45" s="293" t="s">
        <v>141</v>
      </c>
      <c r="C45" s="194">
        <v>37342</v>
      </c>
      <c r="D45" s="196" t="s">
        <v>106</v>
      </c>
      <c r="E45" s="25">
        <f>134940/2/1121</f>
        <v>60.187332738626225</v>
      </c>
      <c r="F45" s="135">
        <f>131130/2/1121</f>
        <v>58.487957181088312</v>
      </c>
      <c r="G45" s="135">
        <f>129210/2/1121</f>
        <v>57.631578947368418</v>
      </c>
      <c r="H45" s="135">
        <f>129640/2/1121</f>
        <v>57.823371989295275</v>
      </c>
      <c r="I45" s="135"/>
      <c r="J45" s="136"/>
      <c r="K45" s="144">
        <f>62870/2/896.8</f>
        <v>35.052408563782336</v>
      </c>
      <c r="L45" s="25">
        <f>55870/2/896.8</f>
        <v>31.149643175735953</v>
      </c>
      <c r="M45" s="25">
        <f>58940/2/896.8</f>
        <v>32.86128456735058</v>
      </c>
      <c r="N45" s="135"/>
      <c r="O45" s="135"/>
      <c r="P45" s="136"/>
      <c r="Q45" s="144">
        <f>78580/2/1121</f>
        <v>35.049063336306865</v>
      </c>
      <c r="R45" s="25"/>
      <c r="S45" s="25"/>
      <c r="T45" s="25"/>
      <c r="U45" s="136"/>
      <c r="V45" s="144"/>
      <c r="W45" s="135"/>
      <c r="X45" s="135"/>
      <c r="Y45" s="135"/>
      <c r="Z45" s="123"/>
      <c r="AA45" s="144"/>
      <c r="AB45" s="135"/>
      <c r="AC45" s="135"/>
      <c r="AD45" s="136"/>
    </row>
    <row r="46" spans="2:30" s="122" customFormat="1" ht="15" customHeight="1" x14ac:dyDescent="0.25">
      <c r="B46" s="293"/>
      <c r="C46" s="65">
        <v>37373</v>
      </c>
      <c r="D46" s="127" t="s">
        <v>143</v>
      </c>
      <c r="E46" s="133">
        <f>143770/2/1080</f>
        <v>66.56018518518519</v>
      </c>
      <c r="F46" s="159">
        <f>139660/2/1080</f>
        <v>64.657407407407405</v>
      </c>
      <c r="G46" s="138"/>
      <c r="H46" s="138"/>
      <c r="I46" s="134"/>
      <c r="J46" s="137"/>
      <c r="K46" s="146"/>
      <c r="L46" s="134"/>
      <c r="M46" s="134"/>
      <c r="N46" s="134"/>
      <c r="O46" s="134"/>
      <c r="P46" s="137"/>
      <c r="Q46" s="146"/>
      <c r="R46" s="134"/>
      <c r="S46" s="134"/>
      <c r="T46" s="134"/>
      <c r="U46" s="137"/>
      <c r="V46" s="146"/>
      <c r="W46" s="134"/>
      <c r="X46" s="134"/>
      <c r="Y46" s="134"/>
      <c r="Z46" s="124"/>
      <c r="AA46" s="146"/>
      <c r="AB46" s="134"/>
      <c r="AC46" s="134"/>
      <c r="AD46" s="137"/>
    </row>
    <row r="47" spans="2:30" s="122" customFormat="1" x14ac:dyDescent="0.25">
      <c r="B47" s="294"/>
      <c r="C47" s="151">
        <v>38073</v>
      </c>
      <c r="D47" s="127" t="s">
        <v>35</v>
      </c>
      <c r="E47" s="133">
        <f>134940/2/1121</f>
        <v>60.187332738626225</v>
      </c>
      <c r="F47" s="134">
        <f>131130/2/1121</f>
        <v>58.487957181088312</v>
      </c>
      <c r="G47" s="134">
        <f>129210/2/1121</f>
        <v>57.631578947368418</v>
      </c>
      <c r="H47" s="134">
        <f>129640/2/1121</f>
        <v>57.823371989295275</v>
      </c>
      <c r="I47" s="134"/>
      <c r="J47" s="137"/>
      <c r="K47" s="146">
        <f>62870/2/896.8</f>
        <v>35.052408563782336</v>
      </c>
      <c r="L47" s="134"/>
      <c r="M47" s="6"/>
      <c r="N47" s="134"/>
      <c r="O47" s="134"/>
      <c r="P47" s="137"/>
      <c r="Q47" s="146">
        <f>78580/2/1121</f>
        <v>35.049063336306865</v>
      </c>
      <c r="R47" s="133">
        <f>69830/2/1121</f>
        <v>31.146297948260482</v>
      </c>
      <c r="S47" s="133">
        <f>73670/2/1121</f>
        <v>32.859054415700271</v>
      </c>
      <c r="T47" s="133">
        <f>76610/2/1121</f>
        <v>34.170383586083851</v>
      </c>
      <c r="U47" s="137"/>
      <c r="V47" s="146"/>
      <c r="W47" s="134"/>
      <c r="X47" s="134"/>
      <c r="Y47" s="134"/>
      <c r="Z47" s="124"/>
      <c r="AA47" s="146"/>
      <c r="AB47" s="134"/>
      <c r="AC47" s="134"/>
      <c r="AD47" s="137"/>
    </row>
    <row r="48" spans="2:30" s="122" customFormat="1" x14ac:dyDescent="0.25">
      <c r="B48" s="294"/>
      <c r="C48" s="151">
        <v>38104</v>
      </c>
      <c r="D48" s="127" t="s">
        <v>36</v>
      </c>
      <c r="E48" s="133">
        <f>143770/2/1080</f>
        <v>66.56018518518519</v>
      </c>
      <c r="F48" s="159">
        <f>139660/2/1080</f>
        <v>64.657407407407405</v>
      </c>
      <c r="G48" s="115"/>
      <c r="H48" s="138"/>
      <c r="I48" s="134"/>
      <c r="J48" s="137"/>
      <c r="K48" s="146"/>
      <c r="L48" s="134"/>
      <c r="M48" s="134"/>
      <c r="N48" s="134"/>
      <c r="O48" s="134"/>
      <c r="P48" s="137"/>
      <c r="Q48" s="146"/>
      <c r="R48" s="134"/>
      <c r="S48" s="134"/>
      <c r="T48" s="134"/>
      <c r="U48" s="137"/>
      <c r="V48" s="146"/>
      <c r="W48" s="134"/>
      <c r="X48" s="134"/>
      <c r="Y48" s="134"/>
      <c r="Z48" s="124"/>
      <c r="AA48" s="146"/>
      <c r="AB48" s="134"/>
      <c r="AC48" s="134"/>
      <c r="AD48" s="137"/>
    </row>
    <row r="49" spans="2:30" s="122" customFormat="1" x14ac:dyDescent="0.25">
      <c r="B49" s="294"/>
      <c r="C49" s="151">
        <v>37326</v>
      </c>
      <c r="D49" s="127" t="s">
        <v>37</v>
      </c>
      <c r="E49" s="133">
        <f>134940/2/1121</f>
        <v>60.187332738626225</v>
      </c>
      <c r="F49" s="134">
        <f>131130/2/1121</f>
        <v>58.487957181088312</v>
      </c>
      <c r="G49" s="134">
        <f>129210/2/1121</f>
        <v>57.631578947368418</v>
      </c>
      <c r="H49" s="134">
        <f>129640/2/1121</f>
        <v>57.823371989295275</v>
      </c>
      <c r="I49" s="79"/>
      <c r="J49" s="137"/>
      <c r="K49" s="146">
        <f>62870/2/896.8</f>
        <v>35.052408563782336</v>
      </c>
      <c r="L49" s="6"/>
      <c r="M49" s="133"/>
      <c r="N49" s="133">
        <f>61280/2/896.8</f>
        <v>34.165923282783233</v>
      </c>
      <c r="O49" s="134"/>
      <c r="P49" s="137"/>
      <c r="Q49" s="146">
        <f>78580/2/1121</f>
        <v>35.049063336306865</v>
      </c>
      <c r="R49" s="133">
        <f>69830/2/1121</f>
        <v>31.146297948260482</v>
      </c>
      <c r="S49" s="133">
        <f>73670/2/1121</f>
        <v>32.859054415700271</v>
      </c>
      <c r="T49" s="133"/>
      <c r="U49" s="137"/>
      <c r="V49" s="146"/>
      <c r="W49" s="134"/>
      <c r="X49" s="134"/>
      <c r="Y49" s="134"/>
      <c r="Z49" s="124"/>
      <c r="AA49" s="146"/>
      <c r="AB49" s="134"/>
      <c r="AC49" s="134"/>
      <c r="AD49" s="137"/>
    </row>
    <row r="50" spans="2:30" s="122" customFormat="1" x14ac:dyDescent="0.25">
      <c r="B50" s="294"/>
      <c r="C50" s="151">
        <v>37357</v>
      </c>
      <c r="D50" s="127" t="s">
        <v>38</v>
      </c>
      <c r="E50" s="133">
        <f>143770/2/1080</f>
        <v>66.56018518518519</v>
      </c>
      <c r="F50" s="159">
        <f>139660/2/1080</f>
        <v>64.657407407407405</v>
      </c>
      <c r="G50" s="134"/>
      <c r="H50" s="134"/>
      <c r="I50" s="134"/>
      <c r="J50" s="137"/>
      <c r="K50" s="146">
        <f>66800/2/864</f>
        <v>38.657407407407405</v>
      </c>
      <c r="L50" s="133"/>
      <c r="M50" s="134"/>
      <c r="N50" s="134"/>
      <c r="O50" s="134"/>
      <c r="P50" s="137"/>
      <c r="Q50" s="146"/>
      <c r="R50" s="134"/>
      <c r="S50" s="134"/>
      <c r="T50" s="134"/>
      <c r="U50" s="137"/>
      <c r="V50" s="146"/>
      <c r="W50" s="134"/>
      <c r="X50" s="134"/>
      <c r="Y50" s="134"/>
      <c r="Z50" s="124"/>
      <c r="AA50" s="146"/>
      <c r="AB50" s="134"/>
      <c r="AC50" s="134"/>
      <c r="AD50" s="137"/>
    </row>
    <row r="51" spans="2:30" s="122" customFormat="1" x14ac:dyDescent="0.25">
      <c r="B51" s="294"/>
      <c r="C51" s="151">
        <v>36962</v>
      </c>
      <c r="D51" s="127" t="s">
        <v>110</v>
      </c>
      <c r="E51" s="133">
        <f>134940/2/1121</f>
        <v>60.187332738626225</v>
      </c>
      <c r="F51" s="134">
        <f>131130/2/1121</f>
        <v>58.487957181088312</v>
      </c>
      <c r="G51" s="134">
        <f>129210/2/1121</f>
        <v>57.631578947368418</v>
      </c>
      <c r="H51" s="134">
        <f>129640/2/1121</f>
        <v>57.823371989295275</v>
      </c>
      <c r="I51" s="134"/>
      <c r="J51" s="137"/>
      <c r="K51" s="146"/>
      <c r="L51" s="134"/>
      <c r="M51" s="134"/>
      <c r="N51" s="134"/>
      <c r="O51" s="134"/>
      <c r="P51" s="137"/>
      <c r="Q51" s="146"/>
      <c r="R51" s="134"/>
      <c r="S51" s="134"/>
      <c r="T51" s="134"/>
      <c r="U51" s="137"/>
      <c r="V51" s="146"/>
      <c r="W51" s="134"/>
      <c r="X51" s="134"/>
      <c r="Y51" s="134"/>
      <c r="Z51" s="124"/>
      <c r="AA51" s="146"/>
      <c r="AB51" s="134"/>
      <c r="AC51" s="6"/>
      <c r="AD51" s="137"/>
    </row>
    <row r="52" spans="2:30" s="122" customFormat="1" ht="16.5" customHeight="1" x14ac:dyDescent="0.25">
      <c r="B52" s="294"/>
      <c r="C52" s="151">
        <v>36993</v>
      </c>
      <c r="D52" s="127" t="s">
        <v>48</v>
      </c>
      <c r="E52" s="133">
        <f>143770/2/1080</f>
        <v>66.56018518518519</v>
      </c>
      <c r="F52" s="134">
        <f>139660/2/1080</f>
        <v>64.657407407407405</v>
      </c>
      <c r="G52" s="134"/>
      <c r="H52" s="134"/>
      <c r="I52" s="134"/>
      <c r="J52" s="137"/>
      <c r="K52" s="146"/>
      <c r="L52" s="134"/>
      <c r="M52" s="134"/>
      <c r="N52" s="134"/>
      <c r="O52" s="134"/>
      <c r="P52" s="137"/>
      <c r="Q52" s="146"/>
      <c r="R52" s="134"/>
      <c r="S52" s="134"/>
      <c r="T52" s="134"/>
      <c r="U52" s="137"/>
      <c r="V52" s="146"/>
      <c r="W52" s="134"/>
      <c r="X52" s="134"/>
      <c r="Y52" s="134"/>
      <c r="Z52" s="124"/>
      <c r="AA52" s="146"/>
      <c r="AB52" s="134"/>
      <c r="AC52" s="6"/>
      <c r="AD52" s="137"/>
    </row>
    <row r="53" spans="2:30" s="122" customFormat="1" ht="16.5" customHeight="1" x14ac:dyDescent="0.25">
      <c r="B53" s="294"/>
      <c r="C53" s="151">
        <v>38057</v>
      </c>
      <c r="D53" s="127" t="s">
        <v>46</v>
      </c>
      <c r="E53" s="133">
        <f>134940/2/1121</f>
        <v>60.187332738626225</v>
      </c>
      <c r="F53" s="134">
        <f>131130/2/1121</f>
        <v>58.487957181088312</v>
      </c>
      <c r="G53" s="134">
        <f>129210/2/1121</f>
        <v>57.631578947368418</v>
      </c>
      <c r="H53" s="134">
        <f>129640/2/1121</f>
        <v>57.823371989295275</v>
      </c>
      <c r="I53" s="134"/>
      <c r="J53" s="137"/>
      <c r="K53" s="146"/>
      <c r="L53" s="134"/>
      <c r="M53" s="134"/>
      <c r="N53" s="134"/>
      <c r="O53" s="134"/>
      <c r="P53" s="137"/>
      <c r="Q53" s="146"/>
      <c r="R53" s="134"/>
      <c r="S53" s="134"/>
      <c r="T53" s="134"/>
      <c r="U53" s="137"/>
      <c r="V53" s="146"/>
      <c r="W53" s="134"/>
      <c r="X53" s="134"/>
      <c r="Y53" s="134"/>
      <c r="Z53" s="124"/>
      <c r="AA53" s="146"/>
      <c r="AB53" s="134"/>
      <c r="AC53" s="134"/>
      <c r="AD53" s="137"/>
    </row>
    <row r="54" spans="2:30" s="122" customFormat="1" x14ac:dyDescent="0.25">
      <c r="B54" s="294"/>
      <c r="C54" s="151">
        <v>38088</v>
      </c>
      <c r="D54" s="127" t="s">
        <v>47</v>
      </c>
      <c r="E54" s="133">
        <f>143770/2/1080</f>
        <v>66.56018518518519</v>
      </c>
      <c r="F54" s="134">
        <f>139660/2/1080</f>
        <v>64.657407407407405</v>
      </c>
      <c r="G54" s="134"/>
      <c r="H54" s="134"/>
      <c r="I54" s="134"/>
      <c r="J54" s="137"/>
      <c r="K54" s="146">
        <f>66800/2/864</f>
        <v>38.657407407407405</v>
      </c>
      <c r="L54" s="6"/>
      <c r="M54" s="133"/>
      <c r="N54" s="134"/>
      <c r="O54" s="134"/>
      <c r="P54" s="137"/>
      <c r="Q54" s="146"/>
      <c r="R54" s="134"/>
      <c r="S54" s="134"/>
      <c r="T54" s="134"/>
      <c r="U54" s="137"/>
      <c r="V54" s="146"/>
      <c r="W54" s="134"/>
      <c r="X54" s="134"/>
      <c r="Y54" s="134"/>
      <c r="Z54" s="124"/>
      <c r="AA54" s="146"/>
      <c r="AB54" s="134"/>
      <c r="AC54" s="134"/>
      <c r="AD54" s="137"/>
    </row>
    <row r="55" spans="2:30" s="122" customFormat="1" x14ac:dyDescent="0.25">
      <c r="B55" s="294"/>
      <c r="C55" s="66">
        <v>36961</v>
      </c>
      <c r="D55" s="197" t="s">
        <v>111</v>
      </c>
      <c r="E55" s="133">
        <f>134940/2/1121</f>
        <v>60.187332738626225</v>
      </c>
      <c r="F55" s="134">
        <f>131130/2/1121</f>
        <v>58.487957181088312</v>
      </c>
      <c r="G55" s="134">
        <f>129210/2/1121</f>
        <v>57.631578947368418</v>
      </c>
      <c r="H55" s="134">
        <f>129640/2/1121</f>
        <v>57.823371989295275</v>
      </c>
      <c r="I55" s="134"/>
      <c r="J55" s="137"/>
      <c r="K55" s="146"/>
      <c r="L55" s="134"/>
      <c r="M55" s="134"/>
      <c r="N55" s="134"/>
      <c r="O55" s="134"/>
      <c r="P55" s="137"/>
      <c r="Q55" s="146"/>
      <c r="R55" s="134"/>
      <c r="S55" s="134"/>
      <c r="T55" s="134"/>
      <c r="U55" s="137"/>
      <c r="V55" s="146"/>
      <c r="W55" s="134"/>
      <c r="X55" s="134"/>
      <c r="Y55" s="134"/>
      <c r="Z55" s="124"/>
      <c r="AA55" s="146"/>
      <c r="AB55" s="134"/>
      <c r="AC55" s="6"/>
      <c r="AD55" s="137"/>
    </row>
    <row r="56" spans="2:30" s="122" customFormat="1" x14ac:dyDescent="0.25">
      <c r="B56" s="294"/>
      <c r="C56" s="195">
        <v>37751</v>
      </c>
      <c r="D56" s="124" t="s">
        <v>61</v>
      </c>
      <c r="E56" s="193">
        <f>134940/2/1112.8</f>
        <v>60.63084112149533</v>
      </c>
      <c r="F56" s="81">
        <f>131130/2/1112.8</f>
        <v>58.918943206326389</v>
      </c>
      <c r="G56" s="81">
        <f>129210/2/1112.8</f>
        <v>58.056254493170385</v>
      </c>
      <c r="H56" s="81">
        <f>129640/2/1112.8</f>
        <v>58.24946081955428</v>
      </c>
      <c r="I56" s="81">
        <f>134430/2/1112.8</f>
        <v>60.401689432063264</v>
      </c>
      <c r="J56" s="82"/>
      <c r="K56" s="83"/>
      <c r="L56" s="81"/>
      <c r="M56" s="81"/>
      <c r="N56" s="81"/>
      <c r="O56" s="81"/>
      <c r="P56" s="82"/>
      <c r="Q56" s="83"/>
      <c r="R56" s="81"/>
      <c r="S56" s="81"/>
      <c r="T56" s="81"/>
      <c r="U56" s="82"/>
      <c r="V56" s="83"/>
      <c r="W56" s="81"/>
      <c r="X56" s="81"/>
      <c r="Y56" s="81"/>
      <c r="Z56" s="82"/>
      <c r="AA56" s="83"/>
      <c r="AB56" s="81"/>
      <c r="AC56" s="81"/>
      <c r="AD56" s="82"/>
    </row>
    <row r="57" spans="2:30" s="122" customFormat="1" x14ac:dyDescent="0.25">
      <c r="B57" s="294"/>
      <c r="C57" s="195">
        <v>36960</v>
      </c>
      <c r="D57" s="124" t="s">
        <v>62</v>
      </c>
      <c r="E57" s="133">
        <f>134940/2/1121</f>
        <v>60.187332738626225</v>
      </c>
      <c r="F57" s="134">
        <f>131130/2/1121</f>
        <v>58.487957181088312</v>
      </c>
      <c r="G57" s="134">
        <f>129210/2/1121</f>
        <v>57.631578947368418</v>
      </c>
      <c r="H57" s="134">
        <f>129640/2/1121</f>
        <v>57.823371989295275</v>
      </c>
      <c r="I57" s="81"/>
      <c r="J57" s="82"/>
      <c r="K57" s="83"/>
      <c r="L57" s="81"/>
      <c r="M57" s="81"/>
      <c r="N57" s="81"/>
      <c r="O57" s="81"/>
      <c r="P57" s="82"/>
      <c r="Q57" s="83"/>
      <c r="R57" s="81"/>
      <c r="S57" s="81"/>
      <c r="T57" s="81"/>
      <c r="U57" s="82"/>
      <c r="V57" s="83"/>
      <c r="W57" s="81"/>
      <c r="X57" s="81"/>
      <c r="Y57" s="81"/>
      <c r="Z57" s="82"/>
      <c r="AA57" s="83"/>
      <c r="AB57" s="81"/>
      <c r="AC57" s="81"/>
      <c r="AD57" s="82"/>
    </row>
    <row r="58" spans="2:30" s="122" customFormat="1" x14ac:dyDescent="0.25">
      <c r="B58" s="294"/>
      <c r="C58" s="195">
        <v>36991</v>
      </c>
      <c r="D58" s="124" t="s">
        <v>131</v>
      </c>
      <c r="E58" s="133">
        <f>143770/2/1080</f>
        <v>66.56018518518519</v>
      </c>
      <c r="F58" s="133">
        <f>139660/2/1080</f>
        <v>64.657407407407405</v>
      </c>
      <c r="G58" s="81"/>
      <c r="H58" s="81"/>
      <c r="I58" s="81"/>
      <c r="J58" s="82"/>
      <c r="K58" s="83"/>
      <c r="L58" s="81"/>
      <c r="M58" s="81"/>
      <c r="N58" s="81"/>
      <c r="O58" s="81"/>
      <c r="P58" s="82"/>
      <c r="Q58" s="83"/>
      <c r="R58" s="81"/>
      <c r="S58" s="81"/>
      <c r="T58" s="81"/>
      <c r="U58" s="82"/>
      <c r="V58" s="83">
        <f>72770/2/864</f>
        <v>42.112268518518519</v>
      </c>
      <c r="W58" s="81">
        <f>65770/2/864</f>
        <v>38.061342592592595</v>
      </c>
      <c r="X58" s="81">
        <f>69380/2/864</f>
        <v>40.150462962962962</v>
      </c>
      <c r="Y58" s="81"/>
      <c r="Z58" s="82"/>
      <c r="AA58" s="83"/>
      <c r="AB58" s="81"/>
      <c r="AC58" s="81"/>
      <c r="AD58" s="82"/>
    </row>
    <row r="59" spans="2:30" s="122" customFormat="1" ht="15.75" thickBot="1" x14ac:dyDescent="0.3">
      <c r="B59" s="295"/>
      <c r="C59" s="74">
        <v>37038</v>
      </c>
      <c r="D59" s="63" t="s">
        <v>122</v>
      </c>
      <c r="E59" s="23"/>
      <c r="F59" s="140"/>
      <c r="G59" s="113"/>
      <c r="H59" s="140"/>
      <c r="I59" s="140">
        <f>134430/2/1112.8</f>
        <v>60.401689432063264</v>
      </c>
      <c r="J59" s="141"/>
      <c r="K59" s="148"/>
      <c r="L59" s="140"/>
      <c r="M59" s="140"/>
      <c r="N59" s="140"/>
      <c r="O59" s="140"/>
      <c r="P59" s="141"/>
      <c r="Q59" s="148"/>
      <c r="R59" s="140"/>
      <c r="S59" s="140"/>
      <c r="T59" s="140"/>
      <c r="U59" s="141"/>
      <c r="V59" s="148"/>
      <c r="W59" s="140"/>
      <c r="X59" s="140"/>
      <c r="Y59" s="140"/>
      <c r="Z59" s="126"/>
      <c r="AA59" s="148"/>
      <c r="AB59" s="140"/>
      <c r="AC59" s="113"/>
      <c r="AD59" s="141"/>
    </row>
    <row r="60" spans="2:30" s="122" customFormat="1" ht="15.75" customHeight="1" x14ac:dyDescent="0.25">
      <c r="B60" s="278" t="s">
        <v>155</v>
      </c>
      <c r="C60" s="61">
        <v>36965</v>
      </c>
      <c r="D60" s="150" t="s">
        <v>39</v>
      </c>
      <c r="E60" s="146">
        <f>134940/2/1121</f>
        <v>60.187332738626225</v>
      </c>
      <c r="F60" s="134">
        <f>131130/2/1121</f>
        <v>58.487957181088312</v>
      </c>
      <c r="G60" s="134">
        <f>129210/2/1121</f>
        <v>57.631578947368418</v>
      </c>
      <c r="H60" s="134">
        <f>129640/2/1121</f>
        <v>57.823371989295275</v>
      </c>
      <c r="I60" s="142"/>
      <c r="J60" s="143"/>
      <c r="K60" s="24">
        <f>62870/2/896.8</f>
        <v>35.052408563782336</v>
      </c>
      <c r="L60" s="142"/>
      <c r="M60" s="142"/>
      <c r="N60" s="142"/>
      <c r="O60" s="134"/>
      <c r="P60" s="143"/>
      <c r="Q60" s="152">
        <f>78580/2/1121</f>
        <v>35.049063336306865</v>
      </c>
      <c r="R60" s="142">
        <f>69830/2/1121</f>
        <v>31.146297948260482</v>
      </c>
      <c r="S60" s="142">
        <f>73670/2/1121</f>
        <v>32.859054415700271</v>
      </c>
      <c r="T60" s="134">
        <f>76610/2/1121</f>
        <v>34.170383586083851</v>
      </c>
      <c r="U60" s="76"/>
      <c r="V60" s="24"/>
      <c r="W60" s="142"/>
      <c r="X60" s="142"/>
      <c r="Y60" s="142"/>
      <c r="Z60" s="149"/>
      <c r="AA60" s="24"/>
      <c r="AB60" s="142"/>
      <c r="AC60" s="142"/>
      <c r="AD60" s="143"/>
    </row>
    <row r="61" spans="2:30" s="122" customFormat="1" ht="15.75" customHeight="1" x14ac:dyDescent="0.25">
      <c r="B61" s="278"/>
      <c r="C61" s="57">
        <v>36996</v>
      </c>
      <c r="D61" s="127" t="s">
        <v>107</v>
      </c>
      <c r="E61" s="146">
        <f>143770/2/1080</f>
        <v>66.56018518518519</v>
      </c>
      <c r="F61" s="134">
        <f>139660/2/1080</f>
        <v>64.657407407407405</v>
      </c>
      <c r="G61" s="134"/>
      <c r="H61" s="134"/>
      <c r="I61" s="134"/>
      <c r="J61" s="137"/>
      <c r="K61" s="133"/>
      <c r="L61" s="134"/>
      <c r="M61" s="134"/>
      <c r="N61" s="134"/>
      <c r="O61" s="134"/>
      <c r="P61" s="137"/>
      <c r="Q61" s="146"/>
      <c r="R61" s="134"/>
      <c r="S61" s="73"/>
      <c r="T61" s="134"/>
      <c r="U61" s="58"/>
      <c r="V61" s="133"/>
      <c r="W61" s="134"/>
      <c r="X61" s="134"/>
      <c r="Y61" s="134"/>
      <c r="Z61" s="124"/>
      <c r="AA61" s="133"/>
      <c r="AB61" s="134"/>
      <c r="AC61" s="134"/>
      <c r="AD61" s="137"/>
    </row>
    <row r="62" spans="2:30" s="122" customFormat="1" ht="15.75" customHeight="1" x14ac:dyDescent="0.25">
      <c r="B62" s="278"/>
      <c r="C62" s="57">
        <v>38791</v>
      </c>
      <c r="D62" s="127" t="s">
        <v>40</v>
      </c>
      <c r="E62" s="146">
        <f>134940/2/1121</f>
        <v>60.187332738626225</v>
      </c>
      <c r="F62" s="134">
        <f>131130/2/1121</f>
        <v>58.487957181088312</v>
      </c>
      <c r="G62" s="134">
        <f>129210/2/1121</f>
        <v>57.631578947368418</v>
      </c>
      <c r="H62" s="134">
        <f>129640/2/1121</f>
        <v>57.823371989295275</v>
      </c>
      <c r="I62" s="134"/>
      <c r="J62" s="137"/>
      <c r="K62" s="133"/>
      <c r="L62" s="134"/>
      <c r="M62" s="134"/>
      <c r="N62" s="134"/>
      <c r="O62" s="134"/>
      <c r="P62" s="137"/>
      <c r="Q62" s="146"/>
      <c r="R62" s="134"/>
      <c r="S62" s="73"/>
      <c r="T62" s="134"/>
      <c r="U62" s="58"/>
      <c r="V62" s="133"/>
      <c r="W62" s="134"/>
      <c r="X62" s="134"/>
      <c r="Y62" s="134"/>
      <c r="Z62" s="124"/>
      <c r="AA62" s="133"/>
      <c r="AB62" s="134"/>
      <c r="AC62" s="134"/>
      <c r="AD62" s="137"/>
    </row>
    <row r="63" spans="2:30" s="122" customFormat="1" ht="15.75" customHeight="1" x14ac:dyDescent="0.25">
      <c r="B63" s="278"/>
      <c r="C63" s="57">
        <v>38822</v>
      </c>
      <c r="D63" s="127" t="s">
        <v>41</v>
      </c>
      <c r="E63" s="146">
        <f>143770/2/1080</f>
        <v>66.56018518518519</v>
      </c>
      <c r="F63" s="134">
        <f>139660/2/1080</f>
        <v>64.657407407407405</v>
      </c>
      <c r="G63" s="134"/>
      <c r="H63" s="134"/>
      <c r="I63" s="134"/>
      <c r="J63" s="137"/>
      <c r="K63" s="146">
        <f>66800/2/864</f>
        <v>38.657407407407405</v>
      </c>
      <c r="L63" s="134"/>
      <c r="M63" s="134"/>
      <c r="N63" s="134"/>
      <c r="O63" s="134"/>
      <c r="P63" s="137"/>
      <c r="Q63" s="146"/>
      <c r="R63" s="134"/>
      <c r="S63" s="73"/>
      <c r="T63" s="134"/>
      <c r="U63" s="58"/>
      <c r="V63" s="133"/>
      <c r="W63" s="134"/>
      <c r="X63" s="134"/>
      <c r="Y63" s="134"/>
      <c r="Z63" s="124"/>
      <c r="AA63" s="133"/>
      <c r="AB63" s="134"/>
      <c r="AC63" s="134"/>
      <c r="AD63" s="137"/>
    </row>
    <row r="64" spans="2:30" s="122" customFormat="1" ht="15.75" customHeight="1" x14ac:dyDescent="0.25">
      <c r="B64" s="278"/>
      <c r="C64" s="57">
        <v>38061</v>
      </c>
      <c r="D64" s="127" t="s">
        <v>42</v>
      </c>
      <c r="E64" s="146">
        <f>134940/2/1121</f>
        <v>60.187332738626225</v>
      </c>
      <c r="F64" s="134">
        <f>131130/2/1121</f>
        <v>58.487957181088312</v>
      </c>
      <c r="G64" s="134">
        <f>129210/2/1121</f>
        <v>57.631578947368418</v>
      </c>
      <c r="H64" s="134">
        <f>129640/2/1121</f>
        <v>57.823371989295275</v>
      </c>
      <c r="I64" s="134"/>
      <c r="J64" s="137"/>
      <c r="K64" s="133">
        <f>62870/2/896.8</f>
        <v>35.052408563782336</v>
      </c>
      <c r="L64" s="133"/>
      <c r="M64" s="133"/>
      <c r="O64" s="134"/>
      <c r="P64" s="137"/>
      <c r="Q64" s="152">
        <f>78580/2/1121</f>
        <v>35.049063336306865</v>
      </c>
      <c r="R64" s="142">
        <f>69830/2/1121</f>
        <v>31.146297948260482</v>
      </c>
      <c r="S64" s="142">
        <f>73670/2/1121</f>
        <v>32.859054415700271</v>
      </c>
      <c r="T64" s="134">
        <f>76610/2/1121</f>
        <v>34.170383586083851</v>
      </c>
      <c r="U64" s="58"/>
      <c r="V64" s="133"/>
      <c r="W64" s="134"/>
      <c r="X64" s="134"/>
      <c r="Y64" s="134"/>
      <c r="Z64" s="124"/>
      <c r="AA64" s="133"/>
      <c r="AB64" s="134"/>
      <c r="AC64" s="134"/>
      <c r="AD64" s="137"/>
    </row>
    <row r="65" spans="2:30" s="122" customFormat="1" ht="15.75" customHeight="1" x14ac:dyDescent="0.25">
      <c r="B65" s="278"/>
      <c r="C65" s="57">
        <v>38092</v>
      </c>
      <c r="D65" s="127" t="s">
        <v>108</v>
      </c>
      <c r="E65" s="146">
        <f>143770/2/1080</f>
        <v>66.56018518518519</v>
      </c>
      <c r="F65" s="134">
        <f>139660/2/1080</f>
        <v>64.657407407407405</v>
      </c>
      <c r="G65" s="134"/>
      <c r="H65" s="134"/>
      <c r="I65" s="134"/>
      <c r="J65" s="137"/>
      <c r="K65" s="146">
        <f>66800/2/864</f>
        <v>38.657407407407405</v>
      </c>
      <c r="L65" s="133">
        <f>59800/2/864</f>
        <v>34.606481481481481</v>
      </c>
      <c r="M65" s="134">
        <f>63080/2/864</f>
        <v>36.504629629629626</v>
      </c>
      <c r="N65" s="134"/>
      <c r="O65" s="134"/>
      <c r="P65" s="137"/>
      <c r="Q65" s="146"/>
      <c r="R65" s="134"/>
      <c r="S65" s="73"/>
      <c r="T65" s="134"/>
      <c r="U65" s="58"/>
      <c r="V65" s="133"/>
      <c r="W65" s="134"/>
      <c r="X65" s="134"/>
      <c r="Y65" s="134"/>
      <c r="Z65" s="124"/>
      <c r="AA65" s="133"/>
      <c r="AB65" s="134"/>
      <c r="AC65" s="134"/>
      <c r="AD65" s="137"/>
    </row>
    <row r="66" spans="2:30" s="122" customFormat="1" ht="15.75" customHeight="1" x14ac:dyDescent="0.25">
      <c r="B66" s="278"/>
      <c r="C66" s="57">
        <v>37330</v>
      </c>
      <c r="D66" s="127" t="s">
        <v>43</v>
      </c>
      <c r="E66" s="146">
        <f>134940/2/1121</f>
        <v>60.187332738626225</v>
      </c>
      <c r="F66" s="134">
        <f>131130/2/1121</f>
        <v>58.487957181088312</v>
      </c>
      <c r="G66" s="134">
        <f>129210/2/1121</f>
        <v>57.631578947368418</v>
      </c>
      <c r="H66" s="134">
        <f>129640/2/1121</f>
        <v>57.823371989295275</v>
      </c>
      <c r="I66" s="134"/>
      <c r="J66" s="137"/>
      <c r="K66" s="133"/>
      <c r="L66" s="134"/>
      <c r="M66" s="134"/>
      <c r="N66" s="134"/>
      <c r="O66" s="134"/>
      <c r="P66" s="137"/>
      <c r="Q66" s="146"/>
      <c r="R66" s="134"/>
      <c r="S66" s="73"/>
      <c r="T66" s="134"/>
      <c r="U66" s="58"/>
      <c r="V66" s="133"/>
      <c r="W66" s="134"/>
      <c r="X66" s="134"/>
      <c r="Y66" s="134"/>
      <c r="Z66" s="124"/>
      <c r="AA66" s="133"/>
      <c r="AB66" s="134"/>
      <c r="AC66" s="134"/>
      <c r="AD66" s="137"/>
    </row>
    <row r="67" spans="2:30" s="122" customFormat="1" ht="15.75" customHeight="1" x14ac:dyDescent="0.25">
      <c r="B67" s="278"/>
      <c r="C67" s="57">
        <v>37361</v>
      </c>
      <c r="D67" s="127" t="s">
        <v>109</v>
      </c>
      <c r="E67" s="146">
        <f>143770/2/1080</f>
        <v>66.56018518518519</v>
      </c>
      <c r="F67" s="134">
        <f>139660/2/1080</f>
        <v>64.657407407407405</v>
      </c>
      <c r="G67" s="134"/>
      <c r="H67" s="134"/>
      <c r="I67" s="134"/>
      <c r="J67" s="137"/>
      <c r="K67" s="133"/>
      <c r="L67" s="134"/>
      <c r="M67" s="134"/>
      <c r="N67" s="134"/>
      <c r="O67" s="134"/>
      <c r="P67" s="137"/>
      <c r="Q67" s="146"/>
      <c r="R67" s="134"/>
      <c r="S67" s="73"/>
      <c r="T67" s="134"/>
      <c r="U67" s="58"/>
      <c r="V67" s="133"/>
      <c r="W67" s="134"/>
      <c r="X67" s="134"/>
      <c r="Y67" s="134"/>
      <c r="Z67" s="124"/>
      <c r="AA67" s="133"/>
      <c r="AB67" s="134"/>
      <c r="AC67" s="134"/>
      <c r="AD67" s="137"/>
    </row>
    <row r="68" spans="2:30" s="122" customFormat="1" ht="15.75" customHeight="1" x14ac:dyDescent="0.25">
      <c r="B68" s="278"/>
      <c r="C68" s="57">
        <v>38426</v>
      </c>
      <c r="D68" s="127" t="s">
        <v>44</v>
      </c>
      <c r="E68" s="146">
        <f>134940/2/1121</f>
        <v>60.187332738626225</v>
      </c>
      <c r="F68" s="134">
        <f>131130/2/1121</f>
        <v>58.487957181088312</v>
      </c>
      <c r="G68" s="134">
        <f>129210/2/1121</f>
        <v>57.631578947368418</v>
      </c>
      <c r="H68" s="134">
        <f>129640/2/1121</f>
        <v>57.823371989295275</v>
      </c>
      <c r="I68" s="134"/>
      <c r="J68" s="137"/>
      <c r="K68" s="133">
        <f>62870/2/896.8</f>
        <v>35.052408563782336</v>
      </c>
      <c r="L68" s="134"/>
      <c r="M68" s="134"/>
      <c r="O68" s="134"/>
      <c r="P68" s="137"/>
      <c r="Q68" s="152">
        <f>78580/2/1121</f>
        <v>35.049063336306865</v>
      </c>
      <c r="R68" s="142">
        <f>69830/2/1121</f>
        <v>31.146297948260482</v>
      </c>
      <c r="S68" s="142">
        <f>73670/2/1121</f>
        <v>32.859054415700271</v>
      </c>
      <c r="T68" s="134">
        <f>76610/2/1121</f>
        <v>34.170383586083851</v>
      </c>
      <c r="U68" s="58"/>
      <c r="W68" s="134"/>
      <c r="X68" s="134"/>
      <c r="Y68" s="134"/>
      <c r="Z68" s="124"/>
      <c r="AA68" s="133"/>
      <c r="AB68" s="134"/>
      <c r="AC68" s="134"/>
      <c r="AD68" s="137"/>
    </row>
    <row r="69" spans="2:30" s="122" customFormat="1" x14ac:dyDescent="0.25">
      <c r="B69" s="278"/>
      <c r="C69" s="57">
        <v>38457</v>
      </c>
      <c r="D69" s="127" t="s">
        <v>45</v>
      </c>
      <c r="E69" s="146">
        <f>143770/2/1080</f>
        <v>66.56018518518519</v>
      </c>
      <c r="F69" s="134">
        <f>139660/2/1080</f>
        <v>64.657407407407405</v>
      </c>
      <c r="G69" s="134"/>
      <c r="H69" s="134"/>
      <c r="I69" s="134"/>
      <c r="J69" s="137"/>
      <c r="K69" s="146"/>
      <c r="L69" s="133"/>
      <c r="M69" s="134"/>
      <c r="N69" s="134"/>
      <c r="O69" s="134"/>
      <c r="P69" s="137"/>
      <c r="Q69" s="146"/>
      <c r="R69" s="134"/>
      <c r="S69" s="73"/>
      <c r="T69" s="134"/>
      <c r="U69" s="58"/>
      <c r="V69" s="133"/>
      <c r="W69" s="6"/>
      <c r="X69" s="133"/>
      <c r="Y69" s="134"/>
      <c r="Z69" s="124"/>
      <c r="AA69" s="133"/>
      <c r="AB69" s="134"/>
      <c r="AC69" s="134"/>
      <c r="AD69" s="137"/>
    </row>
    <row r="70" spans="2:30" s="122" customFormat="1" x14ac:dyDescent="0.25">
      <c r="B70" s="278"/>
      <c r="C70" s="57">
        <v>37337</v>
      </c>
      <c r="D70" s="127" t="s">
        <v>132</v>
      </c>
      <c r="E70" s="152">
        <f>134940/2/1121</f>
        <v>60.187332738626225</v>
      </c>
      <c r="F70" s="134"/>
      <c r="G70" s="142"/>
      <c r="H70" s="142"/>
      <c r="I70" s="134"/>
      <c r="J70" s="137"/>
      <c r="K70" s="133"/>
      <c r="L70" s="134"/>
      <c r="M70" s="134"/>
      <c r="N70" s="134"/>
      <c r="O70" s="134"/>
      <c r="P70" s="137"/>
      <c r="Q70" s="242"/>
      <c r="R70" s="134"/>
      <c r="S70" s="73"/>
      <c r="T70" s="134"/>
      <c r="U70" s="58"/>
      <c r="V70" s="133"/>
      <c r="W70" s="134"/>
      <c r="X70" s="134"/>
      <c r="Y70" s="134"/>
      <c r="Z70" s="125"/>
      <c r="AA70" s="159"/>
      <c r="AB70" s="138"/>
      <c r="AC70" s="59"/>
      <c r="AD70" s="139"/>
    </row>
    <row r="71" spans="2:30" s="122" customFormat="1" x14ac:dyDescent="0.25">
      <c r="B71" s="278"/>
      <c r="C71" s="57">
        <v>37368</v>
      </c>
      <c r="D71" s="127" t="s">
        <v>133</v>
      </c>
      <c r="E71" s="146">
        <f>143770/2/1080</f>
        <v>66.56018518518519</v>
      </c>
      <c r="F71" s="134"/>
      <c r="G71" s="134"/>
      <c r="H71" s="134"/>
      <c r="I71" s="134"/>
      <c r="J71" s="137"/>
      <c r="K71" s="133"/>
      <c r="L71" s="134"/>
      <c r="M71" s="134"/>
      <c r="N71" s="134"/>
      <c r="O71" s="134"/>
      <c r="P71" s="137"/>
      <c r="Q71" s="146"/>
      <c r="R71" s="134"/>
      <c r="S71" s="73"/>
      <c r="T71" s="134"/>
      <c r="U71" s="58"/>
      <c r="V71" s="133"/>
      <c r="W71" s="134"/>
      <c r="X71" s="134"/>
      <c r="Y71" s="134"/>
      <c r="Z71" s="125"/>
      <c r="AA71" s="159"/>
      <c r="AB71" s="138"/>
      <c r="AC71" s="59"/>
      <c r="AD71" s="139"/>
    </row>
    <row r="72" spans="2:30" s="122" customFormat="1" x14ac:dyDescent="0.25">
      <c r="B72" s="278"/>
      <c r="C72" s="60">
        <v>38423</v>
      </c>
      <c r="D72" s="127" t="s">
        <v>112</v>
      </c>
      <c r="E72" s="146">
        <f>134940/2/1121</f>
        <v>60.187332738626225</v>
      </c>
      <c r="F72" s="134">
        <f>131130/2/1121</f>
        <v>58.487957181088312</v>
      </c>
      <c r="G72" s="134">
        <f>129210/2/1121</f>
        <v>57.631578947368418</v>
      </c>
      <c r="H72" s="134">
        <f>129640/2/1121</f>
        <v>57.823371989295275</v>
      </c>
      <c r="I72" s="134"/>
      <c r="J72" s="137"/>
      <c r="K72" s="133"/>
      <c r="L72" s="134"/>
      <c r="M72" s="134"/>
      <c r="N72" s="134"/>
      <c r="O72" s="134"/>
      <c r="P72" s="137"/>
      <c r="Q72" s="146"/>
      <c r="R72" s="134"/>
      <c r="S72" s="73"/>
      <c r="T72" s="134"/>
      <c r="U72" s="58"/>
      <c r="V72" s="133"/>
      <c r="W72" s="134"/>
      <c r="X72" s="134"/>
      <c r="Y72" s="134"/>
      <c r="Z72" s="125"/>
      <c r="AA72" s="159"/>
      <c r="AB72" s="138"/>
      <c r="AC72" s="59"/>
      <c r="AD72" s="139"/>
    </row>
    <row r="73" spans="2:30" s="122" customFormat="1" x14ac:dyDescent="0.25">
      <c r="B73" s="278"/>
      <c r="C73" s="52">
        <v>37026</v>
      </c>
      <c r="D73" s="127" t="s">
        <v>113</v>
      </c>
      <c r="E73" s="146">
        <f>134940/2/1109.8</f>
        <v>60.794737790592905</v>
      </c>
      <c r="F73" s="134">
        <f>131130/2/1109.8</f>
        <v>59.078212290502798</v>
      </c>
      <c r="G73" s="134">
        <f>129210/2/1109.8</f>
        <v>58.213191566047939</v>
      </c>
      <c r="H73" s="134">
        <f>129640/2/1109.8</f>
        <v>58.40692016579564</v>
      </c>
      <c r="I73" s="134">
        <f>134430/2/1109.8</f>
        <v>60.564966660659579</v>
      </c>
      <c r="J73" s="134">
        <f>138460/2/1109.8</f>
        <v>62.380609118760141</v>
      </c>
      <c r="K73" s="146"/>
      <c r="L73" s="134"/>
      <c r="M73" s="134"/>
      <c r="N73" s="134"/>
      <c r="O73" s="134"/>
      <c r="P73" s="137"/>
      <c r="Q73" s="146"/>
      <c r="R73" s="134"/>
      <c r="S73" s="73"/>
      <c r="T73" s="134"/>
      <c r="U73" s="58"/>
      <c r="V73" s="133"/>
      <c r="W73" s="134"/>
      <c r="X73" s="134"/>
      <c r="Y73" s="134"/>
      <c r="Z73" s="124"/>
      <c r="AA73" s="133"/>
      <c r="AB73" s="134"/>
      <c r="AC73" s="77"/>
      <c r="AD73" s="137"/>
    </row>
    <row r="74" spans="2:30" s="122" customFormat="1" x14ac:dyDescent="0.25">
      <c r="B74" s="278"/>
      <c r="C74" s="55">
        <v>38058</v>
      </c>
      <c r="D74" s="149" t="s">
        <v>74</v>
      </c>
      <c r="E74" s="146">
        <f>134940/2/1121</f>
        <v>60.187332738626225</v>
      </c>
      <c r="F74" s="134">
        <f>131130/2/1121</f>
        <v>58.487957181088312</v>
      </c>
      <c r="G74" s="134">
        <f>129210/2/1121</f>
        <v>57.631578947368418</v>
      </c>
      <c r="H74" s="134">
        <f>129640/2/1121</f>
        <v>57.823371989295275</v>
      </c>
      <c r="I74" s="10"/>
      <c r="J74" s="11"/>
      <c r="K74" s="12"/>
      <c r="L74" s="10"/>
      <c r="M74" s="10"/>
      <c r="N74" s="10"/>
      <c r="O74" s="10"/>
      <c r="P74" s="11"/>
      <c r="Q74" s="12"/>
      <c r="R74" s="10"/>
      <c r="S74" s="10"/>
      <c r="T74" s="10"/>
      <c r="U74" s="10"/>
      <c r="V74" s="45"/>
      <c r="W74" s="157"/>
      <c r="X74" s="157"/>
      <c r="Y74" s="157"/>
      <c r="Z74" s="46"/>
      <c r="AA74" s="157"/>
      <c r="AB74" s="157"/>
      <c r="AC74" s="157"/>
      <c r="AD74" s="46"/>
    </row>
    <row r="75" spans="2:30" s="122" customFormat="1" x14ac:dyDescent="0.25">
      <c r="B75" s="278"/>
      <c r="C75" s="55">
        <v>38089</v>
      </c>
      <c r="D75" s="149" t="s">
        <v>97</v>
      </c>
      <c r="E75" s="146">
        <f>143770/2/1080</f>
        <v>66.56018518518519</v>
      </c>
      <c r="F75" s="134">
        <f>139660/2/1080</f>
        <v>64.657407407407405</v>
      </c>
      <c r="G75" s="10"/>
      <c r="H75" s="10"/>
      <c r="I75" s="10"/>
      <c r="J75" s="11"/>
      <c r="K75" s="12"/>
      <c r="L75" s="10"/>
      <c r="M75" s="10"/>
      <c r="N75" s="10"/>
      <c r="O75" s="10"/>
      <c r="P75" s="11"/>
      <c r="Q75" s="12"/>
      <c r="R75" s="10"/>
      <c r="S75" s="10"/>
      <c r="T75" s="10"/>
      <c r="U75" s="10"/>
      <c r="V75" s="45"/>
      <c r="W75" s="157"/>
      <c r="X75" s="157"/>
      <c r="Y75" s="157"/>
      <c r="Z75" s="46"/>
      <c r="AA75" s="157"/>
      <c r="AB75" s="157"/>
      <c r="AC75" s="157"/>
      <c r="AD75" s="46"/>
    </row>
    <row r="76" spans="2:30" s="122" customFormat="1" x14ac:dyDescent="0.25">
      <c r="B76" s="278"/>
      <c r="C76" s="51">
        <v>36972</v>
      </c>
      <c r="D76" s="124" t="s">
        <v>75</v>
      </c>
      <c r="E76" s="146">
        <f>134940/2/1121</f>
        <v>60.187332738626225</v>
      </c>
      <c r="F76" s="134">
        <f>131130/2/1121</f>
        <v>58.487957181088312</v>
      </c>
      <c r="G76" s="134">
        <f>129210/2/1121</f>
        <v>57.631578947368418</v>
      </c>
      <c r="H76" s="134">
        <f>129640/2/1121</f>
        <v>57.823371989295275</v>
      </c>
      <c r="I76" s="10"/>
      <c r="J76" s="11"/>
      <c r="K76" s="12"/>
      <c r="L76" s="10"/>
      <c r="M76" s="10"/>
      <c r="N76" s="10"/>
      <c r="O76" s="10"/>
      <c r="P76" s="11"/>
      <c r="Q76" s="12"/>
      <c r="R76" s="10"/>
      <c r="S76" s="10"/>
      <c r="T76" s="10"/>
      <c r="U76" s="10"/>
      <c r="V76" s="45"/>
      <c r="W76" s="157"/>
      <c r="X76" s="157"/>
      <c r="Y76" s="157"/>
      <c r="Z76" s="46"/>
      <c r="AA76" s="157"/>
      <c r="AB76" s="157"/>
      <c r="AC76" s="157"/>
      <c r="AD76" s="46"/>
    </row>
    <row r="77" spans="2:30" s="122" customFormat="1" x14ac:dyDescent="0.25">
      <c r="B77" s="278"/>
      <c r="C77" s="52">
        <v>37003</v>
      </c>
      <c r="D77" s="124" t="s">
        <v>98</v>
      </c>
      <c r="E77" s="146">
        <f>143770/2/1080</f>
        <v>66.56018518518519</v>
      </c>
      <c r="F77" s="134">
        <f>139660/2/1080</f>
        <v>64.657407407407405</v>
      </c>
      <c r="G77" s="14"/>
      <c r="H77" s="14"/>
      <c r="I77" s="10"/>
      <c r="J77" s="11"/>
      <c r="K77" s="12"/>
      <c r="L77" s="10"/>
      <c r="M77" s="10"/>
      <c r="N77" s="10"/>
      <c r="O77" s="10"/>
      <c r="P77" s="11"/>
      <c r="Q77" s="12"/>
      <c r="R77" s="10"/>
      <c r="S77" s="10"/>
      <c r="T77" s="10"/>
      <c r="U77" s="10"/>
      <c r="V77" s="45"/>
      <c r="W77" s="157"/>
      <c r="X77" s="157"/>
      <c r="Y77" s="157"/>
      <c r="Z77" s="46"/>
      <c r="AA77" s="157"/>
      <c r="AB77" s="157"/>
      <c r="AC77" s="157"/>
      <c r="AD77" s="46"/>
    </row>
    <row r="78" spans="2:30" s="122" customFormat="1" x14ac:dyDescent="0.25">
      <c r="B78" s="278"/>
      <c r="C78" s="57">
        <v>37034</v>
      </c>
      <c r="D78" s="127" t="s">
        <v>55</v>
      </c>
      <c r="E78" s="133">
        <f>134940/2/1112.8</f>
        <v>60.63084112149533</v>
      </c>
      <c r="F78" s="134">
        <f>131130/2/1112.8</f>
        <v>58.918943206326389</v>
      </c>
      <c r="G78" s="134">
        <f>129210/2/1112.8</f>
        <v>58.056254493170385</v>
      </c>
      <c r="H78" s="134">
        <f>129640/2/1112.8</f>
        <v>58.24946081955428</v>
      </c>
      <c r="I78" s="134">
        <f>134430/2/1112.8</f>
        <v>60.401689432063264</v>
      </c>
      <c r="J78" s="137"/>
      <c r="K78" s="146">
        <f>62870/2/927.3</f>
        <v>33.899493152162194</v>
      </c>
      <c r="L78" s="133">
        <f>55870/2/927.3</f>
        <v>30.125094359969808</v>
      </c>
      <c r="M78" s="133">
        <f>58940/2/927.3</f>
        <v>31.780437830259896</v>
      </c>
      <c r="N78" s="134">
        <f>61280/2/927.3</f>
        <v>33.042165426507069</v>
      </c>
      <c r="O78" s="134">
        <f>61280/2/927.3</f>
        <v>33.042165426507069</v>
      </c>
      <c r="P78" s="137">
        <f>63120/2/927.3</f>
        <v>34.034293109026208</v>
      </c>
      <c r="Q78" s="133"/>
      <c r="R78" s="134"/>
      <c r="S78" s="134"/>
      <c r="T78" s="134"/>
      <c r="U78" s="133"/>
      <c r="V78" s="45"/>
      <c r="W78" s="157"/>
      <c r="X78" s="157"/>
      <c r="Y78" s="157"/>
      <c r="Z78" s="46"/>
      <c r="AA78" s="157"/>
      <c r="AB78" s="157"/>
      <c r="AC78" s="157"/>
      <c r="AD78" s="46"/>
    </row>
    <row r="79" spans="2:30" s="122" customFormat="1" x14ac:dyDescent="0.25">
      <c r="B79" s="278"/>
      <c r="C79" s="57">
        <v>36973</v>
      </c>
      <c r="D79" s="127" t="s">
        <v>56</v>
      </c>
      <c r="E79" s="242">
        <f>134940/2/1121</f>
        <v>60.187332738626225</v>
      </c>
      <c r="F79" s="134">
        <f>131130/2/1121</f>
        <v>58.487957181088312</v>
      </c>
      <c r="G79" s="134"/>
      <c r="H79" s="134"/>
      <c r="I79" s="134"/>
      <c r="J79" s="137"/>
      <c r="K79" s="152">
        <f>62870/2/896.8</f>
        <v>35.052408563782336</v>
      </c>
      <c r="L79" s="24"/>
      <c r="M79" s="134"/>
      <c r="N79" s="134"/>
      <c r="O79" s="134">
        <f>61280/2/896.8</f>
        <v>34.165923282783233</v>
      </c>
      <c r="P79" s="137"/>
      <c r="Q79" s="133">
        <f>78580/2/1121</f>
        <v>35.049063336306865</v>
      </c>
      <c r="R79" s="133">
        <f>69830/2/1121</f>
        <v>31.146297948260482</v>
      </c>
      <c r="S79" s="133">
        <f>73670/2/1121</f>
        <v>32.859054415700271</v>
      </c>
      <c r="T79" s="133">
        <f>76610/2/1121</f>
        <v>34.170383586083851</v>
      </c>
      <c r="U79" s="133"/>
      <c r="V79" s="45"/>
      <c r="W79" s="157"/>
      <c r="X79" s="157"/>
      <c r="Y79" s="157"/>
      <c r="Z79" s="46"/>
      <c r="AA79" s="157"/>
      <c r="AB79" s="157"/>
      <c r="AC79" s="157"/>
      <c r="AD79" s="46"/>
    </row>
    <row r="80" spans="2:30" s="122" customFormat="1" x14ac:dyDescent="0.25">
      <c r="B80" s="278"/>
      <c r="C80" s="57">
        <v>37004</v>
      </c>
      <c r="D80" s="127" t="s">
        <v>57</v>
      </c>
      <c r="E80" s="242"/>
      <c r="F80" s="134"/>
      <c r="G80" s="134"/>
      <c r="H80" s="62"/>
      <c r="I80" s="134"/>
      <c r="J80" s="137"/>
      <c r="K80" s="146">
        <f>66800/2/864</f>
        <v>38.657407407407405</v>
      </c>
      <c r="L80" s="133">
        <f>59800/2/864</f>
        <v>34.606481481481481</v>
      </c>
      <c r="M80" s="134">
        <f>63080/2/864</f>
        <v>36.504629629629626</v>
      </c>
      <c r="N80" s="134"/>
      <c r="O80" s="134"/>
      <c r="P80" s="137"/>
      <c r="Q80" s="133"/>
      <c r="R80" s="134"/>
      <c r="S80" s="134"/>
      <c r="T80" s="134"/>
      <c r="U80" s="133"/>
      <c r="V80" s="45"/>
      <c r="W80" s="157"/>
      <c r="X80" s="157"/>
      <c r="Y80" s="157"/>
      <c r="Z80" s="46"/>
      <c r="AA80" s="157"/>
      <c r="AB80" s="157"/>
      <c r="AC80" s="157"/>
      <c r="AD80" s="46"/>
    </row>
    <row r="81" spans="2:30" s="122" customFormat="1" x14ac:dyDescent="0.25">
      <c r="B81" s="278"/>
      <c r="C81" s="57">
        <v>37703</v>
      </c>
      <c r="D81" s="127" t="s">
        <v>58</v>
      </c>
      <c r="E81" s="242">
        <f>134940/2/1121</f>
        <v>60.187332738626225</v>
      </c>
      <c r="F81" s="134">
        <f>131130/2/1121</f>
        <v>58.487957181088312</v>
      </c>
      <c r="G81" s="134"/>
      <c r="H81" s="134"/>
      <c r="I81" s="134"/>
      <c r="J81" s="137"/>
      <c r="K81" s="152">
        <f>62870/2/896.8</f>
        <v>35.052408563782336</v>
      </c>
      <c r="L81" s="24"/>
      <c r="M81" s="134"/>
      <c r="N81" s="134"/>
      <c r="O81" s="134">
        <f>61280/2/896.8</f>
        <v>34.165923282783233</v>
      </c>
      <c r="P81" s="137"/>
      <c r="Q81" s="133">
        <f>78580/2/1121</f>
        <v>35.049063336306865</v>
      </c>
      <c r="R81" s="133">
        <f>69830/2/1121</f>
        <v>31.146297948260482</v>
      </c>
      <c r="S81" s="133">
        <f>73670/2/1121</f>
        <v>32.859054415700271</v>
      </c>
      <c r="T81" s="134"/>
      <c r="U81" s="133"/>
      <c r="V81" s="44"/>
      <c r="W81" s="131"/>
      <c r="X81" s="131"/>
      <c r="Y81" s="131"/>
      <c r="Z81" s="47"/>
      <c r="AA81" s="131"/>
      <c r="AB81" s="131"/>
      <c r="AC81" s="131"/>
      <c r="AD81" s="47"/>
    </row>
    <row r="82" spans="2:30" s="122" customFormat="1" ht="15.75" thickBot="1" x14ac:dyDescent="0.3">
      <c r="B82" s="278"/>
      <c r="C82" s="160">
        <v>37734</v>
      </c>
      <c r="D82" s="63" t="s">
        <v>59</v>
      </c>
      <c r="E82" s="148"/>
      <c r="F82" s="140"/>
      <c r="G82" s="140"/>
      <c r="H82" s="140"/>
      <c r="I82" s="140"/>
      <c r="J82" s="141"/>
      <c r="K82" s="146">
        <f>66800/2/864</f>
        <v>38.657407407407405</v>
      </c>
      <c r="L82" s="133">
        <f>59800/2/864</f>
        <v>34.606481481481481</v>
      </c>
      <c r="M82" s="134">
        <f>63080/2/864</f>
        <v>36.504629629629626</v>
      </c>
      <c r="N82" s="134"/>
      <c r="O82" s="134"/>
      <c r="P82" s="137"/>
      <c r="Q82" s="148"/>
      <c r="R82" s="140"/>
      <c r="S82" s="140"/>
      <c r="T82" s="140"/>
      <c r="U82" s="116"/>
      <c r="V82" s="78"/>
      <c r="W82" s="158"/>
      <c r="X82" s="158"/>
      <c r="Y82" s="158"/>
      <c r="Z82" s="49"/>
      <c r="AA82" s="158"/>
      <c r="AB82" s="158"/>
      <c r="AC82" s="158"/>
      <c r="AD82" s="49"/>
    </row>
    <row r="83" spans="2:30" s="122" customFormat="1" ht="15" customHeight="1" x14ac:dyDescent="0.25">
      <c r="B83" s="285" t="s">
        <v>154</v>
      </c>
      <c r="C83" s="61">
        <v>37390</v>
      </c>
      <c r="D83" s="150" t="s">
        <v>51</v>
      </c>
      <c r="E83" s="308">
        <f>169170/2/1109.8</f>
        <v>76.216435393764641</v>
      </c>
      <c r="F83" s="308">
        <f>162170/2/1109.8</f>
        <v>73.062714002522981</v>
      </c>
      <c r="G83" s="142">
        <f>171080/2/1109.8</f>
        <v>77.076950801946296</v>
      </c>
      <c r="H83" s="251">
        <f>177920/2/1109.8</f>
        <v>80.15858713281672</v>
      </c>
      <c r="I83" s="142">
        <f>184500/2/1109.8</f>
        <v>83.12308524058389</v>
      </c>
      <c r="J83" s="143">
        <f>190040/2/1109.8</f>
        <v>85.619030455938017</v>
      </c>
      <c r="K83" s="144"/>
      <c r="L83" s="135"/>
      <c r="M83" s="135"/>
      <c r="N83" s="135"/>
      <c r="O83" s="75"/>
      <c r="P83" s="136"/>
      <c r="Q83" s="24"/>
      <c r="R83" s="142"/>
      <c r="S83" s="142"/>
      <c r="T83" s="142"/>
      <c r="U83" s="24"/>
      <c r="V83" s="152"/>
      <c r="W83" s="142"/>
      <c r="X83" s="142"/>
      <c r="Y83" s="142"/>
      <c r="Z83" s="149"/>
      <c r="AA83" s="24"/>
      <c r="AB83" s="142"/>
      <c r="AC83" s="142"/>
      <c r="AD83" s="143"/>
    </row>
    <row r="84" spans="2:30" s="122" customFormat="1" x14ac:dyDescent="0.25">
      <c r="B84" s="286"/>
      <c r="C84" s="57">
        <v>37328</v>
      </c>
      <c r="D84" s="127" t="s">
        <v>52</v>
      </c>
      <c r="E84" s="152">
        <f>134940/2/1121</f>
        <v>60.187332738626225</v>
      </c>
      <c r="F84" s="142">
        <f>131130/2/1121</f>
        <v>58.487957181088312</v>
      </c>
      <c r="G84" s="142">
        <f>129210/2/1121</f>
        <v>57.631578947368418</v>
      </c>
      <c r="H84" s="142">
        <f>129640/2/1121</f>
        <v>57.823371989295275</v>
      </c>
      <c r="I84" s="134"/>
      <c r="J84" s="137"/>
      <c r="K84" s="152">
        <f>62870/2/896.8</f>
        <v>35.052408563782336</v>
      </c>
      <c r="L84" s="24">
        <f>55870/2/896.8</f>
        <v>31.149643175735953</v>
      </c>
      <c r="M84" s="134">
        <f>58940/2/896.8</f>
        <v>32.86128456735058</v>
      </c>
      <c r="N84" s="134">
        <f>61280/2/896.8</f>
        <v>34.165923282783233</v>
      </c>
      <c r="O84" s="134">
        <f>61280/2/896.8</f>
        <v>34.165923282783233</v>
      </c>
      <c r="P84" s="137"/>
      <c r="Q84" s="133">
        <f>78580/2/1121</f>
        <v>35.049063336306865</v>
      </c>
      <c r="R84" s="134"/>
      <c r="S84" s="134"/>
      <c r="T84" s="134"/>
      <c r="U84" s="133"/>
      <c r="V84" s="146"/>
      <c r="W84" s="134"/>
      <c r="X84" s="134"/>
      <c r="Y84" s="134"/>
      <c r="Z84" s="124"/>
      <c r="AA84" s="133"/>
      <c r="AB84" s="134"/>
      <c r="AC84" s="134"/>
      <c r="AD84" s="137"/>
    </row>
    <row r="85" spans="2:30" s="122" customFormat="1" x14ac:dyDescent="0.25">
      <c r="B85" s="286"/>
      <c r="C85" s="57">
        <v>37359</v>
      </c>
      <c r="D85" s="127" t="s">
        <v>53</v>
      </c>
      <c r="E85" s="145">
        <f>143770/2/1080</f>
        <v>66.56018518518519</v>
      </c>
      <c r="F85" s="182">
        <f>139660/2/1080</f>
        <v>64.657407407407405</v>
      </c>
      <c r="G85" s="134"/>
      <c r="H85" s="134"/>
      <c r="I85" s="134"/>
      <c r="J85" s="137"/>
      <c r="K85" s="146">
        <f>66800/2/864</f>
        <v>38.657407407407405</v>
      </c>
      <c r="L85" s="133">
        <f>59800/2/864</f>
        <v>34.606481481481481</v>
      </c>
      <c r="M85" s="133">
        <f>63080/2/864</f>
        <v>36.504629629629626</v>
      </c>
      <c r="N85" s="134"/>
      <c r="O85" s="134"/>
      <c r="P85" s="137"/>
      <c r="Q85" s="133"/>
      <c r="R85" s="134"/>
      <c r="S85" s="134"/>
      <c r="T85" s="134"/>
      <c r="U85" s="133"/>
      <c r="V85" s="146"/>
      <c r="W85" s="134"/>
      <c r="X85" s="134"/>
      <c r="Y85" s="134"/>
      <c r="Z85" s="124"/>
      <c r="AA85" s="133"/>
      <c r="AB85" s="134"/>
      <c r="AC85" s="134"/>
      <c r="AD85" s="137"/>
    </row>
    <row r="86" spans="2:30" s="122" customFormat="1" x14ac:dyDescent="0.25">
      <c r="B86" s="286"/>
      <c r="C86" s="57">
        <v>36963</v>
      </c>
      <c r="D86" s="127" t="s">
        <v>54</v>
      </c>
      <c r="E86" s="152">
        <f>134940/2/1121</f>
        <v>60.187332738626225</v>
      </c>
      <c r="F86" s="142">
        <f>131130/2/1121</f>
        <v>58.487957181088312</v>
      </c>
      <c r="G86" s="142">
        <f>129210/2/1121</f>
        <v>57.631578947368418</v>
      </c>
      <c r="H86" s="142">
        <f>129640/2/1121</f>
        <v>57.823371989295275</v>
      </c>
      <c r="I86" s="134"/>
      <c r="J86" s="137"/>
      <c r="K86" s="152">
        <f>62870/2/896.8</f>
        <v>35.052408563782336</v>
      </c>
      <c r="L86" s="24">
        <f>55870/2/896.8</f>
        <v>31.149643175735953</v>
      </c>
      <c r="M86" s="134">
        <f>58940/2/896.8</f>
        <v>32.86128456735058</v>
      </c>
      <c r="N86" s="134">
        <f>61280/2/896.8</f>
        <v>34.165923282783233</v>
      </c>
      <c r="O86" s="134">
        <f>61280/2/896.8</f>
        <v>34.165923282783233</v>
      </c>
      <c r="P86" s="137"/>
      <c r="Q86" s="133">
        <f>78580/2/1121</f>
        <v>35.049063336306865</v>
      </c>
      <c r="R86" s="134"/>
      <c r="S86" s="134"/>
      <c r="T86" s="134"/>
      <c r="U86" s="133"/>
      <c r="V86" s="146"/>
      <c r="W86" s="134"/>
      <c r="X86" s="134"/>
      <c r="Y86" s="134"/>
      <c r="Z86" s="124"/>
      <c r="AA86" s="133"/>
      <c r="AB86" s="134"/>
      <c r="AC86" s="134"/>
      <c r="AD86" s="137"/>
    </row>
    <row r="87" spans="2:30" s="122" customFormat="1" ht="15.75" thickBot="1" x14ac:dyDescent="0.3">
      <c r="B87" s="286"/>
      <c r="C87" s="160">
        <v>36994</v>
      </c>
      <c r="D87" s="63" t="s">
        <v>114</v>
      </c>
      <c r="E87" s="180">
        <f>143770/2/1080</f>
        <v>66.56018518518519</v>
      </c>
      <c r="F87" s="309">
        <f>139660/2/1080</f>
        <v>64.657407407407405</v>
      </c>
      <c r="G87" s="140"/>
      <c r="H87" s="140"/>
      <c r="I87" s="140"/>
      <c r="J87" s="141"/>
      <c r="K87" s="148">
        <f>66800/2/864</f>
        <v>38.657407407407405</v>
      </c>
      <c r="L87" s="23">
        <f>59800/2/864</f>
        <v>34.606481481481481</v>
      </c>
      <c r="M87" s="23">
        <f>63080/2/864</f>
        <v>36.504629629629626</v>
      </c>
      <c r="N87" s="140"/>
      <c r="O87" s="140"/>
      <c r="P87" s="141"/>
      <c r="Q87" s="23"/>
      <c r="R87" s="140"/>
      <c r="S87" s="140"/>
      <c r="T87" s="140"/>
      <c r="U87" s="23"/>
      <c r="V87" s="148"/>
      <c r="W87" s="140"/>
      <c r="X87" s="140"/>
      <c r="Y87" s="140"/>
      <c r="Z87" s="126"/>
      <c r="AA87" s="159"/>
      <c r="AB87" s="138"/>
      <c r="AC87" s="138"/>
      <c r="AD87" s="139"/>
    </row>
    <row r="88" spans="2:30" s="122" customFormat="1" ht="15" customHeight="1" x14ac:dyDescent="0.25">
      <c r="B88" s="279" t="s">
        <v>164</v>
      </c>
      <c r="C88" s="194" t="s">
        <v>81</v>
      </c>
      <c r="D88" s="310" t="s">
        <v>85</v>
      </c>
      <c r="E88" s="311">
        <f>120120/2/1121</f>
        <v>53.577163247100806</v>
      </c>
      <c r="F88" s="7">
        <f>113120/2/1121</f>
        <v>50.454950936663693</v>
      </c>
      <c r="G88" s="7">
        <f>110950/2/1121</f>
        <v>49.487065120428191</v>
      </c>
      <c r="H88" s="7">
        <f>111080/2/1121</f>
        <v>49.545049063336307</v>
      </c>
      <c r="I88" s="26"/>
      <c r="J88" s="190"/>
      <c r="K88" s="199"/>
      <c r="L88" s="26"/>
      <c r="M88" s="26"/>
      <c r="N88" s="26"/>
      <c r="O88" s="26">
        <f>53780/2/896.8</f>
        <v>29.984388938447815</v>
      </c>
      <c r="P88" s="27"/>
      <c r="Q88" s="185"/>
      <c r="R88" s="34"/>
      <c r="S88" s="34"/>
      <c r="T88" s="34"/>
      <c r="U88" s="35"/>
      <c r="V88" s="312">
        <f>56030/2/896.8</f>
        <v>31.23884924174844</v>
      </c>
      <c r="W88" s="311">
        <f>49030/2/896.8</f>
        <v>27.336083853702053</v>
      </c>
      <c r="X88" s="135">
        <f>51720/2/896.8</f>
        <v>28.835860838537023</v>
      </c>
      <c r="Y88" s="135">
        <f>53780/2/896.8</f>
        <v>29.984388938447815</v>
      </c>
      <c r="Z88" s="198"/>
      <c r="AA88" s="313">
        <f>70030/2/1121</f>
        <v>31.235504014272969</v>
      </c>
      <c r="AB88" s="153">
        <f>61280/2/1121</f>
        <v>27.332738626226583</v>
      </c>
      <c r="AC88" s="153">
        <f>64650/2/1121</f>
        <v>28.83586083853702</v>
      </c>
      <c r="AD88" s="106">
        <f>67230/2/1121</f>
        <v>29.986619090098127</v>
      </c>
    </row>
    <row r="89" spans="2:30" s="122" customFormat="1" x14ac:dyDescent="0.25">
      <c r="B89" s="280"/>
      <c r="C89" s="151" t="s">
        <v>81</v>
      </c>
      <c r="D89" s="314" t="s">
        <v>144</v>
      </c>
      <c r="E89" s="13"/>
      <c r="F89" s="14"/>
      <c r="G89" s="28"/>
      <c r="H89" s="14">
        <f>111080/2/1121</f>
        <v>49.545049063336307</v>
      </c>
      <c r="I89" s="28"/>
      <c r="J89" s="72"/>
      <c r="K89" s="30"/>
      <c r="L89" s="28"/>
      <c r="M89" s="28"/>
      <c r="N89" s="28"/>
      <c r="O89" s="28">
        <f>53780/2/896.8</f>
        <v>29.984388938447815</v>
      </c>
      <c r="P89" s="29"/>
      <c r="Q89" s="30"/>
      <c r="R89" s="28"/>
      <c r="S89" s="28"/>
      <c r="T89" s="28"/>
      <c r="U89" s="29"/>
      <c r="V89" s="146"/>
      <c r="W89" s="134"/>
      <c r="X89" s="134"/>
      <c r="Y89" s="134"/>
      <c r="Z89" s="114"/>
      <c r="AA89" s="44"/>
      <c r="AB89" s="131"/>
      <c r="AC89" s="131"/>
      <c r="AD89" s="47"/>
    </row>
    <row r="90" spans="2:30" s="122" customFormat="1" x14ac:dyDescent="0.25">
      <c r="B90" s="280"/>
      <c r="C90" s="52" t="s">
        <v>30</v>
      </c>
      <c r="D90" s="124" t="s">
        <v>167</v>
      </c>
      <c r="E90" s="13">
        <f>120120/2/1121</f>
        <v>53.577163247100806</v>
      </c>
      <c r="F90" s="14">
        <f>113120/2/1121</f>
        <v>50.454950936663693</v>
      </c>
      <c r="G90" s="14">
        <f>110950/2/1121</f>
        <v>49.487065120428191</v>
      </c>
      <c r="H90" s="14">
        <f>111080/2/1121</f>
        <v>49.545049063336307</v>
      </c>
      <c r="I90" s="14"/>
      <c r="J90" s="15"/>
      <c r="K90" s="43"/>
      <c r="L90" s="28"/>
      <c r="M90" s="14"/>
      <c r="N90" s="28"/>
      <c r="O90" s="28">
        <f>53780/2/896.8</f>
        <v>29.984388938447815</v>
      </c>
      <c r="P90" s="15"/>
      <c r="Q90" s="132"/>
      <c r="R90" s="13"/>
      <c r="S90" s="14"/>
      <c r="T90" s="41"/>
      <c r="U90" s="15"/>
      <c r="V90" s="132">
        <f>56030/2/896.8</f>
        <v>31.23884924174844</v>
      </c>
      <c r="W90" s="14">
        <f>49030/2/896.8</f>
        <v>27.336083853702053</v>
      </c>
      <c r="X90" s="14">
        <f>51720/2/896.8</f>
        <v>28.835860838537023</v>
      </c>
      <c r="Y90" s="14">
        <f>53780/2/896.8</f>
        <v>29.984388938447815</v>
      </c>
      <c r="Z90" s="15"/>
      <c r="AA90" s="132">
        <f>70030/2/1121</f>
        <v>31.235504014272969</v>
      </c>
      <c r="AB90" s="13">
        <f>61280/2/1121</f>
        <v>27.332738626226583</v>
      </c>
      <c r="AC90" s="14"/>
      <c r="AD90" s="15"/>
    </row>
    <row r="91" spans="2:30" s="122" customFormat="1" x14ac:dyDescent="0.25">
      <c r="B91" s="280"/>
      <c r="C91" s="52" t="s">
        <v>146</v>
      </c>
      <c r="D91" s="124" t="s">
        <v>147</v>
      </c>
      <c r="E91" s="19"/>
      <c r="F91" s="14"/>
      <c r="G91" s="14"/>
      <c r="H91" s="14"/>
      <c r="I91" s="14"/>
      <c r="J91" s="42"/>
      <c r="K91" s="132"/>
      <c r="L91" s="14"/>
      <c r="M91" s="14"/>
      <c r="N91" s="14"/>
      <c r="O91" s="14"/>
      <c r="P91" s="15"/>
      <c r="Q91" s="132"/>
      <c r="R91" s="28"/>
      <c r="S91" s="28"/>
      <c r="T91" s="28"/>
      <c r="U91" s="15"/>
      <c r="V91" s="315">
        <f>56030/2/896.8</f>
        <v>31.23884924174844</v>
      </c>
      <c r="W91" s="14">
        <f>49030/2/896.8</f>
        <v>27.336083853702053</v>
      </c>
      <c r="X91" s="14">
        <f>51720/2/896.8</f>
        <v>28.835860838537023</v>
      </c>
      <c r="Y91" s="14">
        <f>53780/2/896.8</f>
        <v>29.984388938447815</v>
      </c>
      <c r="Z91" s="21"/>
      <c r="AA91" s="44">
        <f>70030/2/1121</f>
        <v>31.235504014272969</v>
      </c>
      <c r="AB91" s="131"/>
      <c r="AC91" s="131"/>
      <c r="AD91" s="47"/>
    </row>
    <row r="92" spans="2:30" s="122" customFormat="1" x14ac:dyDescent="0.25">
      <c r="B92" s="280"/>
      <c r="C92" s="52" t="s">
        <v>88</v>
      </c>
      <c r="D92" s="150" t="s">
        <v>148</v>
      </c>
      <c r="E92" s="69"/>
      <c r="F92" s="69"/>
      <c r="G92" s="69"/>
      <c r="H92" s="28"/>
      <c r="I92" s="28"/>
      <c r="J92" s="29"/>
      <c r="K92" s="36"/>
      <c r="L92" s="28"/>
      <c r="M92" s="28"/>
      <c r="N92" s="28"/>
      <c r="O92" s="28"/>
      <c r="P92" s="29"/>
      <c r="Q92" s="30"/>
      <c r="R92" s="28"/>
      <c r="S92" s="28"/>
      <c r="T92" s="70"/>
      <c r="U92" s="29"/>
      <c r="V92" s="242"/>
      <c r="W92" s="14"/>
      <c r="X92" s="14">
        <f>51720/2/896.8</f>
        <v>28.835860838537023</v>
      </c>
      <c r="Y92" s="134"/>
      <c r="Z92" s="124"/>
      <c r="AA92" s="146"/>
      <c r="AB92" s="134"/>
      <c r="AC92" s="134"/>
      <c r="AD92" s="137"/>
    </row>
    <row r="93" spans="2:30" s="122" customFormat="1" x14ac:dyDescent="0.25">
      <c r="B93" s="280"/>
      <c r="C93" s="52" t="s">
        <v>33</v>
      </c>
      <c r="D93" s="124" t="s">
        <v>73</v>
      </c>
      <c r="E93" s="13"/>
      <c r="F93" s="14"/>
      <c r="G93" s="14">
        <f>110950/2/1121</f>
        <v>49.487065120428191</v>
      </c>
      <c r="H93" s="14">
        <f>111080/2/1121</f>
        <v>49.545049063336307</v>
      </c>
      <c r="I93" s="14"/>
      <c r="J93" s="15"/>
      <c r="K93" s="43"/>
      <c r="L93" s="14"/>
      <c r="M93" s="14"/>
      <c r="N93" s="28"/>
      <c r="O93" s="28">
        <f>53780/2/896.8</f>
        <v>29.984388938447815</v>
      </c>
      <c r="P93" s="15"/>
      <c r="Q93" s="132"/>
      <c r="R93" s="14"/>
      <c r="S93" s="14"/>
      <c r="T93" s="41"/>
      <c r="U93" s="15"/>
      <c r="V93" s="43"/>
      <c r="W93" s="14"/>
      <c r="X93" s="14"/>
      <c r="Y93" s="14"/>
      <c r="Z93" s="15"/>
      <c r="AA93" s="132"/>
      <c r="AB93" s="14"/>
      <c r="AC93" s="14"/>
      <c r="AD93" s="15"/>
    </row>
    <row r="94" spans="2:30" s="122" customFormat="1" ht="15.75" customHeight="1" x14ac:dyDescent="0.25">
      <c r="B94" s="280"/>
      <c r="C94" s="151" t="s">
        <v>115</v>
      </c>
      <c r="D94" s="150" t="s">
        <v>116</v>
      </c>
      <c r="E94" s="13"/>
      <c r="F94" s="14">
        <f>113120/2/1121</f>
        <v>50.454950936663693</v>
      </c>
      <c r="G94" s="14">
        <f>110950/2/1121</f>
        <v>49.487065120428191</v>
      </c>
      <c r="H94" s="14">
        <f>111080/2/1121</f>
        <v>49.545049063336307</v>
      </c>
      <c r="I94" s="28"/>
      <c r="J94" s="29"/>
      <c r="K94" s="22"/>
      <c r="L94" s="19">
        <f>49030/2/896.8</f>
        <v>27.336083853702053</v>
      </c>
      <c r="M94" s="19">
        <f>51720/2/896.8</f>
        <v>28.835860838537023</v>
      </c>
      <c r="N94" s="28">
        <f>53780/2/896.8</f>
        <v>29.984388938447815</v>
      </c>
      <c r="O94" s="28">
        <f>53780/2/896.8</f>
        <v>29.984388938447815</v>
      </c>
      <c r="P94" s="29"/>
      <c r="Q94" s="30"/>
      <c r="R94" s="28"/>
      <c r="S94" s="28"/>
      <c r="T94" s="70"/>
      <c r="U94" s="29"/>
      <c r="V94" s="146"/>
      <c r="W94" s="134"/>
      <c r="X94" s="134"/>
      <c r="Y94" s="134"/>
      <c r="Z94" s="124"/>
      <c r="AA94" s="146"/>
      <c r="AB94" s="134"/>
      <c r="AC94" s="134"/>
      <c r="AD94" s="137"/>
    </row>
    <row r="95" spans="2:30" s="122" customFormat="1" x14ac:dyDescent="0.25">
      <c r="B95" s="280"/>
      <c r="C95" s="151" t="s">
        <v>92</v>
      </c>
      <c r="D95" s="127" t="s">
        <v>93</v>
      </c>
      <c r="E95" s="13"/>
      <c r="F95" s="14">
        <f>113120/2/1121</f>
        <v>50.454950936663693</v>
      </c>
      <c r="G95" s="14">
        <f>110950/2/1121</f>
        <v>49.487065120428191</v>
      </c>
      <c r="H95" s="14">
        <f>111080/2/1121</f>
        <v>49.545049063336307</v>
      </c>
      <c r="I95" s="37"/>
      <c r="J95" s="38"/>
      <c r="K95" s="22"/>
      <c r="L95" s="19">
        <f>49030/2/896.8</f>
        <v>27.336083853702053</v>
      </c>
      <c r="M95" s="19">
        <f>51720/2/896.8</f>
        <v>28.835860838537023</v>
      </c>
      <c r="N95" s="28">
        <f>53780/2/896.8</f>
        <v>29.984388938447815</v>
      </c>
      <c r="O95" s="28"/>
      <c r="P95" s="38"/>
      <c r="Q95" s="22"/>
      <c r="R95" s="20"/>
      <c r="S95" s="20"/>
      <c r="T95" s="20"/>
      <c r="U95" s="21"/>
      <c r="V95" s="22"/>
      <c r="W95" s="20"/>
      <c r="X95" s="20"/>
      <c r="Y95" s="20"/>
      <c r="Z95" s="21"/>
      <c r="AA95" s="245"/>
      <c r="AB95" s="154"/>
      <c r="AC95" s="154"/>
      <c r="AD95" s="48"/>
    </row>
    <row r="96" spans="2:30" s="122" customFormat="1" x14ac:dyDescent="0.25">
      <c r="B96" s="280"/>
      <c r="C96" s="151" t="s">
        <v>32</v>
      </c>
      <c r="D96" s="127" t="s">
        <v>72</v>
      </c>
      <c r="E96" s="13"/>
      <c r="F96" s="14">
        <f>113120/2/1121</f>
        <v>50.454950936663693</v>
      </c>
      <c r="G96" s="14">
        <f>110950/2/1121</f>
        <v>49.487065120428191</v>
      </c>
      <c r="H96" s="14">
        <f>111080/2/1121</f>
        <v>49.545049063336307</v>
      </c>
      <c r="I96" s="28"/>
      <c r="J96" s="29"/>
      <c r="K96" s="22">
        <f>56030/2/896.8</f>
        <v>31.23884924174844</v>
      </c>
      <c r="L96" s="19">
        <f>49030/2/896.8</f>
        <v>27.336083853702053</v>
      </c>
      <c r="M96" s="19">
        <f>51720/2/896.8</f>
        <v>28.835860838537023</v>
      </c>
      <c r="N96" s="28">
        <f>53780/2/896.8</f>
        <v>29.984388938447815</v>
      </c>
      <c r="O96" s="28">
        <f>53780/2/896.8</f>
        <v>29.984388938447815</v>
      </c>
      <c r="P96" s="29"/>
      <c r="Q96" s="30">
        <f>70030/2/1121</f>
        <v>31.235504014272969</v>
      </c>
      <c r="R96" s="28"/>
      <c r="S96" s="28"/>
      <c r="T96" s="70"/>
      <c r="U96" s="29"/>
      <c r="V96" s="146"/>
      <c r="W96" s="134"/>
      <c r="X96" s="134"/>
      <c r="Y96" s="134"/>
      <c r="Z96" s="124"/>
      <c r="AA96" s="146"/>
      <c r="AB96" s="134"/>
      <c r="AC96" s="134"/>
      <c r="AD96" s="137"/>
    </row>
    <row r="97" spans="2:30" s="122" customFormat="1" x14ac:dyDescent="0.25">
      <c r="B97" s="280"/>
      <c r="C97" s="151" t="s">
        <v>88</v>
      </c>
      <c r="D97" s="127" t="s">
        <v>89</v>
      </c>
      <c r="E97" s="13"/>
      <c r="F97" s="14">
        <f>113120/2/1121</f>
        <v>50.454950936663693</v>
      </c>
      <c r="G97" s="14"/>
      <c r="H97" s="14">
        <f>111080/2/1121</f>
        <v>49.545049063336307</v>
      </c>
      <c r="I97" s="28"/>
      <c r="J97" s="29"/>
      <c r="K97" s="22"/>
      <c r="L97" s="19">
        <f>49030/2/896.8</f>
        <v>27.336083853702053</v>
      </c>
      <c r="M97" s="19">
        <f>51720/2/896.8</f>
        <v>28.835860838537023</v>
      </c>
      <c r="N97" s="28">
        <f>53780/2/896.8</f>
        <v>29.984388938447815</v>
      </c>
      <c r="O97" s="28">
        <f>53780/2/896.8</f>
        <v>29.984388938447815</v>
      </c>
      <c r="P97" s="29"/>
      <c r="Q97" s="30"/>
      <c r="R97" s="28"/>
      <c r="S97" s="28"/>
      <c r="T97" s="70"/>
      <c r="U97" s="29"/>
      <c r="V97" s="146"/>
      <c r="W97" s="134"/>
      <c r="X97" s="134"/>
      <c r="Y97" s="134"/>
      <c r="Z97" s="124"/>
      <c r="AA97" s="146"/>
      <c r="AB97" s="134"/>
      <c r="AC97" s="134"/>
      <c r="AD97" s="137"/>
    </row>
    <row r="98" spans="2:30" s="122" customFormat="1" ht="15" customHeight="1" x14ac:dyDescent="0.25">
      <c r="B98" s="280"/>
      <c r="C98" s="65" t="s">
        <v>90</v>
      </c>
      <c r="D98" s="150" t="s">
        <v>94</v>
      </c>
      <c r="E98" s="13"/>
      <c r="F98" s="10">
        <f>113120/2/1121</f>
        <v>50.454950936663693</v>
      </c>
      <c r="G98" s="34">
        <f>113720/2/1121</f>
        <v>50.72256913470116</v>
      </c>
      <c r="H98" s="34">
        <f>118270/2/1121</f>
        <v>52.752007136485283</v>
      </c>
      <c r="I98" s="34"/>
      <c r="J98" s="35"/>
      <c r="K98" s="22"/>
      <c r="L98" s="28"/>
      <c r="M98" s="28"/>
      <c r="N98" s="34"/>
      <c r="O98" s="34">
        <f>61280/2/896.8</f>
        <v>34.165923282783233</v>
      </c>
      <c r="P98" s="35"/>
      <c r="Q98" s="185"/>
      <c r="R98" s="34"/>
      <c r="S98" s="34"/>
      <c r="T98" s="184"/>
      <c r="U98" s="35"/>
      <c r="V98" s="185">
        <f>62870/2/896.8</f>
        <v>35.052408563782336</v>
      </c>
      <c r="W98" s="142">
        <f>55870/2/896.8</f>
        <v>31.149643175735953</v>
      </c>
      <c r="X98" s="142">
        <f>58940/2/896.8</f>
        <v>32.86128456735058</v>
      </c>
      <c r="Y98" s="142">
        <f>61280/2/896.8</f>
        <v>34.165923282783233</v>
      </c>
      <c r="Z98" s="149"/>
      <c r="AA98" s="185">
        <f>78580/2/1121</f>
        <v>35.049063336306865</v>
      </c>
      <c r="AB98" s="142"/>
      <c r="AC98" s="142"/>
      <c r="AD98" s="143"/>
    </row>
    <row r="99" spans="2:30" s="122" customFormat="1" x14ac:dyDescent="0.25">
      <c r="B99" s="280"/>
      <c r="C99" s="151" t="s">
        <v>82</v>
      </c>
      <c r="D99" s="127" t="s">
        <v>86</v>
      </c>
      <c r="E99" s="68">
        <f>128720/2/1080</f>
        <v>59.592592592592595</v>
      </c>
      <c r="F99" s="28">
        <f>121720/2/1080</f>
        <v>56.351851851851855</v>
      </c>
      <c r="G99" s="28"/>
      <c r="H99" s="28"/>
      <c r="I99" s="28"/>
      <c r="J99" s="29"/>
      <c r="K99" s="132">
        <f>59930/2/864</f>
        <v>34.681712962962962</v>
      </c>
      <c r="L99" s="28">
        <f>52930/2/864</f>
        <v>30.630787037037038</v>
      </c>
      <c r="M99" s="28">
        <f t="shared" ref="M99:M104" si="0">55840/2/864</f>
        <v>32.314814814814817</v>
      </c>
      <c r="N99" s="28"/>
      <c r="O99" s="28"/>
      <c r="P99" s="29"/>
      <c r="Q99" s="30"/>
      <c r="R99" s="28"/>
      <c r="S99" s="28"/>
      <c r="T99" s="28"/>
      <c r="U99" s="29"/>
      <c r="V99" s="146"/>
      <c r="W99" s="134"/>
      <c r="X99" s="134"/>
      <c r="Y99" s="134"/>
      <c r="Z99" s="114"/>
      <c r="AA99" s="44"/>
      <c r="AB99" s="131"/>
      <c r="AC99" s="131"/>
      <c r="AD99" s="47"/>
    </row>
    <row r="100" spans="2:30" s="122" customFormat="1" x14ac:dyDescent="0.25">
      <c r="B100" s="280"/>
      <c r="C100" s="151" t="s">
        <v>83</v>
      </c>
      <c r="D100" s="127" t="s">
        <v>87</v>
      </c>
      <c r="E100" s="68">
        <f>128720/2/1080</f>
        <v>59.592592592592595</v>
      </c>
      <c r="F100" s="28">
        <f>121720/2/1080</f>
        <v>56.351851851851855</v>
      </c>
      <c r="G100" s="28"/>
      <c r="H100" s="31"/>
      <c r="I100" s="28"/>
      <c r="J100" s="29"/>
      <c r="K100" s="132">
        <f>59930/2/864</f>
        <v>34.681712962962962</v>
      </c>
      <c r="L100" s="28">
        <f>52930/2/864</f>
        <v>30.630787037037038</v>
      </c>
      <c r="M100" s="28">
        <f t="shared" si="0"/>
        <v>32.314814814814817</v>
      </c>
      <c r="N100" s="28"/>
      <c r="O100" s="28"/>
      <c r="P100" s="29"/>
      <c r="Q100" s="30"/>
      <c r="R100" s="28"/>
      <c r="S100" s="28"/>
      <c r="T100" s="28"/>
      <c r="U100" s="29"/>
      <c r="V100" s="146"/>
      <c r="W100" s="134"/>
      <c r="X100" s="134"/>
      <c r="Y100" s="134"/>
      <c r="Z100" s="114"/>
      <c r="AA100" s="44"/>
      <c r="AB100" s="131"/>
      <c r="AC100" s="131"/>
      <c r="AD100" s="47"/>
    </row>
    <row r="101" spans="2:30" s="122" customFormat="1" x14ac:dyDescent="0.25">
      <c r="B101" s="280"/>
      <c r="C101" s="64" t="s">
        <v>125</v>
      </c>
      <c r="D101" s="125" t="s">
        <v>149</v>
      </c>
      <c r="E101" s="68"/>
      <c r="F101" s="14"/>
      <c r="G101" s="14"/>
      <c r="H101" s="14"/>
      <c r="I101" s="14"/>
      <c r="J101" s="15"/>
      <c r="K101" s="132"/>
      <c r="L101" s="28"/>
      <c r="M101" s="28">
        <f t="shared" si="0"/>
        <v>32.314814814814817</v>
      </c>
      <c r="N101" s="14"/>
      <c r="O101" s="14"/>
      <c r="P101" s="15"/>
      <c r="Q101" s="132"/>
      <c r="R101" s="14"/>
      <c r="S101" s="14"/>
      <c r="T101" s="14"/>
      <c r="U101" s="15"/>
      <c r="V101" s="36">
        <f>66160/2/864</f>
        <v>38.287037037037038</v>
      </c>
      <c r="W101" s="28">
        <f>59160/2/864</f>
        <v>34.236111111111114</v>
      </c>
      <c r="X101" s="14"/>
      <c r="Y101" s="20"/>
      <c r="Z101" s="21"/>
      <c r="AA101" s="44"/>
      <c r="AB101" s="131"/>
      <c r="AC101" s="131"/>
      <c r="AD101" s="47"/>
    </row>
    <row r="102" spans="2:30" s="122" customFormat="1" x14ac:dyDescent="0.25">
      <c r="B102" s="280"/>
      <c r="C102" s="52" t="s">
        <v>31</v>
      </c>
      <c r="D102" s="124" t="s">
        <v>71</v>
      </c>
      <c r="E102" s="68"/>
      <c r="F102" s="14"/>
      <c r="G102" s="14"/>
      <c r="H102" s="14"/>
      <c r="I102" s="14"/>
      <c r="J102" s="15"/>
      <c r="K102" s="132">
        <f>59930/2/864</f>
        <v>34.681712962962962</v>
      </c>
      <c r="L102" s="28">
        <f>52930/2/864</f>
        <v>30.630787037037038</v>
      </c>
      <c r="M102" s="28">
        <f t="shared" si="0"/>
        <v>32.314814814814817</v>
      </c>
      <c r="N102" s="14"/>
      <c r="O102" s="14"/>
      <c r="P102" s="15"/>
      <c r="Q102" s="132"/>
      <c r="R102" s="14"/>
      <c r="S102" s="14"/>
      <c r="T102" s="41"/>
      <c r="U102" s="15"/>
      <c r="V102" s="36">
        <f>66160/2/864</f>
        <v>38.287037037037038</v>
      </c>
      <c r="W102" s="28">
        <f>59160/2/864</f>
        <v>34.236111111111114</v>
      </c>
      <c r="X102" s="14"/>
      <c r="Y102" s="14"/>
      <c r="Z102" s="15"/>
      <c r="AA102" s="132"/>
      <c r="AB102" s="14"/>
      <c r="AC102" s="14"/>
      <c r="AD102" s="15"/>
    </row>
    <row r="103" spans="2:30" s="122" customFormat="1" x14ac:dyDescent="0.25">
      <c r="B103" s="280"/>
      <c r="C103" s="151" t="s">
        <v>91</v>
      </c>
      <c r="D103" s="150" t="s">
        <v>95</v>
      </c>
      <c r="E103" s="68"/>
      <c r="F103" s="28"/>
      <c r="G103" s="28"/>
      <c r="H103" s="28"/>
      <c r="I103" s="28"/>
      <c r="J103" s="29"/>
      <c r="K103" s="132"/>
      <c r="L103" s="28">
        <f>52930/2/864</f>
        <v>30.630787037037038</v>
      </c>
      <c r="M103" s="28">
        <f t="shared" si="0"/>
        <v>32.314814814814817</v>
      </c>
      <c r="N103" s="28"/>
      <c r="O103" s="28"/>
      <c r="P103" s="29"/>
      <c r="Q103" s="30"/>
      <c r="R103" s="28"/>
      <c r="S103" s="28"/>
      <c r="T103" s="70"/>
      <c r="U103" s="29"/>
      <c r="V103" s="146"/>
      <c r="W103" s="134"/>
      <c r="X103" s="134"/>
      <c r="Y103" s="134"/>
      <c r="Z103" s="124"/>
      <c r="AA103" s="146"/>
      <c r="AB103" s="134"/>
      <c r="AC103" s="134"/>
      <c r="AD103" s="137"/>
    </row>
    <row r="104" spans="2:30" s="122" customFormat="1" x14ac:dyDescent="0.25">
      <c r="B104" s="280"/>
      <c r="C104" s="151" t="s">
        <v>125</v>
      </c>
      <c r="D104" s="127" t="s">
        <v>126</v>
      </c>
      <c r="E104" s="68">
        <f>128720/2/1080</f>
        <v>59.592592592592595</v>
      </c>
      <c r="F104" s="28">
        <f>121720/2/1080</f>
        <v>56.351851851851855</v>
      </c>
      <c r="G104" s="37"/>
      <c r="H104" s="37"/>
      <c r="I104" s="37"/>
      <c r="J104" s="38"/>
      <c r="K104" s="132"/>
      <c r="L104" s="28">
        <f>52930/2/864</f>
        <v>30.630787037037038</v>
      </c>
      <c r="M104" s="28">
        <f t="shared" si="0"/>
        <v>32.314814814814817</v>
      </c>
      <c r="N104" s="28"/>
      <c r="O104" s="28"/>
      <c r="P104" s="38"/>
      <c r="Q104" s="39"/>
      <c r="R104" s="37"/>
      <c r="S104" s="37"/>
      <c r="T104" s="71"/>
      <c r="U104" s="38"/>
      <c r="V104" s="147"/>
      <c r="W104" s="138"/>
      <c r="X104" s="138"/>
      <c r="Y104" s="138"/>
      <c r="Z104" s="125"/>
      <c r="AA104" s="147"/>
      <c r="AB104" s="138"/>
      <c r="AC104" s="138"/>
      <c r="AD104" s="139"/>
    </row>
    <row r="105" spans="2:30" s="122" customFormat="1" x14ac:dyDescent="0.25">
      <c r="B105" s="280"/>
      <c r="C105" s="151" t="s">
        <v>127</v>
      </c>
      <c r="D105" s="127" t="s">
        <v>128</v>
      </c>
      <c r="E105" s="68"/>
      <c r="F105" s="28">
        <f>121720/2/1080</f>
        <v>56.351851851851855</v>
      </c>
      <c r="G105" s="28"/>
      <c r="H105" s="28"/>
      <c r="I105" s="28"/>
      <c r="J105" s="29"/>
      <c r="K105" s="36"/>
      <c r="L105" s="28"/>
      <c r="M105" s="28"/>
      <c r="N105" s="28"/>
      <c r="O105" s="28"/>
      <c r="P105" s="29"/>
      <c r="Q105" s="30"/>
      <c r="R105" s="28"/>
      <c r="S105" s="28"/>
      <c r="T105" s="70"/>
      <c r="U105" s="29"/>
      <c r="V105" s="30">
        <f>66160/2/864</f>
        <v>38.287037037037038</v>
      </c>
      <c r="W105" s="134">
        <f>59160/2/864</f>
        <v>34.236111111111114</v>
      </c>
      <c r="X105" s="134">
        <f>62410/2/864</f>
        <v>36.116898148148145</v>
      </c>
      <c r="Y105" s="134"/>
      <c r="Z105" s="124"/>
      <c r="AA105" s="146"/>
      <c r="AB105" s="134"/>
      <c r="AC105" s="134"/>
      <c r="AD105" s="137"/>
    </row>
    <row r="106" spans="2:30" s="122" customFormat="1" x14ac:dyDescent="0.25">
      <c r="B106" s="280"/>
      <c r="C106" s="151" t="s">
        <v>84</v>
      </c>
      <c r="D106" s="127" t="s">
        <v>117</v>
      </c>
      <c r="E106" s="13">
        <f>120120/2/1112.8</f>
        <v>53.971962616822431</v>
      </c>
      <c r="F106" s="28">
        <f>113120/2/1112.8</f>
        <v>50.82674335010784</v>
      </c>
      <c r="G106" s="28">
        <f>110950/2/1112.8</f>
        <v>49.851725377426312</v>
      </c>
      <c r="H106" s="28">
        <f>111080/2/1112.8</f>
        <v>49.910136592379587</v>
      </c>
      <c r="I106" s="28">
        <f>114820/2/1112.8</f>
        <v>51.590582314881381</v>
      </c>
      <c r="J106" s="29"/>
      <c r="K106" s="36">
        <f>56030/2/927.3</f>
        <v>30.211366332362775</v>
      </c>
      <c r="L106" s="14">
        <f>49030/2/927.3</f>
        <v>26.436967540170389</v>
      </c>
      <c r="M106" s="14">
        <f>51720/2/927.3</f>
        <v>27.887415076027178</v>
      </c>
      <c r="N106" s="28">
        <f>53780/2/927.3</f>
        <v>28.998166720586649</v>
      </c>
      <c r="O106" s="28">
        <f>53780/2/927.3</f>
        <v>28.998166720586649</v>
      </c>
      <c r="P106" s="15">
        <f>55390/2/927.3</f>
        <v>29.8662784427909</v>
      </c>
      <c r="Q106" s="316">
        <f>67230/2/1112.8</f>
        <v>30.207584471603166</v>
      </c>
      <c r="R106" s="28">
        <f>58830/2/1112.8</f>
        <v>26.433321351545651</v>
      </c>
      <c r="S106" s="28"/>
      <c r="T106" s="70"/>
      <c r="U106" s="29"/>
      <c r="V106" s="185"/>
      <c r="W106" s="134"/>
      <c r="X106" s="134"/>
      <c r="Y106" s="134"/>
      <c r="Z106" s="124"/>
      <c r="AA106" s="146"/>
      <c r="AB106" s="134"/>
      <c r="AC106" s="134"/>
      <c r="AD106" s="137"/>
    </row>
    <row r="107" spans="2:30" s="122" customFormat="1" x14ac:dyDescent="0.25">
      <c r="B107" s="280"/>
      <c r="C107" s="151" t="s">
        <v>84</v>
      </c>
      <c r="D107" s="127" t="s">
        <v>168</v>
      </c>
      <c r="E107" s="13"/>
      <c r="F107" s="28"/>
      <c r="G107" s="28"/>
      <c r="H107" s="28"/>
      <c r="I107" s="28">
        <f>114820/2/1112.8</f>
        <v>51.590582314881381</v>
      </c>
      <c r="J107" s="29"/>
      <c r="K107" s="30"/>
      <c r="L107" s="28"/>
      <c r="M107" s="28"/>
      <c r="N107" s="28"/>
      <c r="O107" s="28">
        <f>53780/2/927.3</f>
        <v>28.998166720586649</v>
      </c>
      <c r="P107" s="15">
        <f>50270/2/927.3</f>
        <v>27.105575326215899</v>
      </c>
      <c r="Q107" s="36"/>
      <c r="R107" s="28"/>
      <c r="S107" s="28"/>
      <c r="T107" s="28"/>
      <c r="U107" s="29"/>
      <c r="V107" s="146"/>
      <c r="W107" s="134"/>
      <c r="X107" s="134"/>
      <c r="Y107" s="134"/>
      <c r="Z107" s="114"/>
      <c r="AA107" s="44"/>
      <c r="AB107" s="131"/>
      <c r="AC107" s="131"/>
      <c r="AD107" s="47"/>
    </row>
    <row r="108" spans="2:30" s="122" customFormat="1" x14ac:dyDescent="0.25">
      <c r="B108" s="280"/>
      <c r="C108" s="64" t="s">
        <v>129</v>
      </c>
      <c r="D108" s="125" t="s">
        <v>130</v>
      </c>
      <c r="E108" s="13">
        <f>120120/2/1112.8</f>
        <v>53.971962616822431</v>
      </c>
      <c r="F108" s="28">
        <f>113120/2/1112.8</f>
        <v>50.82674335010784</v>
      </c>
      <c r="G108" s="28">
        <f>110950/2/1112.8</f>
        <v>49.851725377426312</v>
      </c>
      <c r="H108" s="28">
        <f>111080/2/1112.8</f>
        <v>49.910136592379587</v>
      </c>
      <c r="I108" s="28">
        <f>114820/2/1112.8</f>
        <v>51.590582314881381</v>
      </c>
      <c r="J108" s="15"/>
      <c r="K108" s="36">
        <f>56030/2/927.3</f>
        <v>30.211366332362775</v>
      </c>
      <c r="L108" s="14">
        <f>49030/2/927.3</f>
        <v>26.436967540170389</v>
      </c>
      <c r="M108" s="14">
        <f>51720/2/927.3</f>
        <v>27.887415076027178</v>
      </c>
      <c r="N108" s="28">
        <f>53780/2/927.3</f>
        <v>28.998166720586649</v>
      </c>
      <c r="O108" s="14">
        <f>53780/2/927.3</f>
        <v>28.998166720586649</v>
      </c>
      <c r="P108" s="15">
        <f>50270/2/927.3</f>
        <v>27.105575326215899</v>
      </c>
      <c r="Q108" s="132"/>
      <c r="R108" s="14"/>
      <c r="S108" s="14"/>
      <c r="T108" s="14"/>
      <c r="U108" s="15"/>
      <c r="V108" s="22"/>
      <c r="W108" s="14"/>
      <c r="X108" s="14"/>
      <c r="Y108" s="20"/>
      <c r="Z108" s="21"/>
      <c r="AA108" s="44"/>
      <c r="AB108" s="131"/>
      <c r="AC108" s="131"/>
      <c r="AD108" s="47"/>
    </row>
    <row r="109" spans="2:30" s="122" customFormat="1" x14ac:dyDescent="0.25">
      <c r="B109" s="280"/>
      <c r="C109" s="64" t="s">
        <v>129</v>
      </c>
      <c r="D109" s="125" t="s">
        <v>145</v>
      </c>
      <c r="E109" s="13"/>
      <c r="F109" s="14"/>
      <c r="G109" s="28"/>
      <c r="H109" s="28"/>
      <c r="I109" s="28">
        <f>114820/2/1112.8</f>
        <v>51.590582314881381</v>
      </c>
      <c r="J109" s="42"/>
      <c r="K109" s="132"/>
      <c r="L109" s="14"/>
      <c r="M109" s="28"/>
      <c r="N109" s="14"/>
      <c r="O109" s="14">
        <f>53780/2/927.3</f>
        <v>28.998166720586649</v>
      </c>
      <c r="P109" s="15">
        <f>55390/2/927.3</f>
        <v>29.8662784427909</v>
      </c>
      <c r="Q109" s="132"/>
      <c r="R109" s="14"/>
      <c r="S109" s="14"/>
      <c r="T109" s="14"/>
      <c r="U109" s="15"/>
      <c r="V109" s="22"/>
      <c r="W109" s="14"/>
      <c r="X109" s="14"/>
      <c r="Y109" s="20"/>
      <c r="Z109" s="21"/>
      <c r="AA109" s="44"/>
      <c r="AB109" s="131"/>
      <c r="AC109" s="131"/>
      <c r="AD109" s="47"/>
    </row>
    <row r="110" spans="2:30" s="122" customFormat="1" x14ac:dyDescent="0.25">
      <c r="B110" s="280"/>
      <c r="C110" s="195" t="s">
        <v>150</v>
      </c>
      <c r="D110" s="124" t="s">
        <v>151</v>
      </c>
      <c r="E110" s="13"/>
      <c r="F110" s="14"/>
      <c r="G110" s="28"/>
      <c r="H110" s="28">
        <f>111080/2/1112.8</f>
        <v>49.910136592379587</v>
      </c>
      <c r="I110" s="28"/>
      <c r="J110" s="72"/>
      <c r="K110" s="132"/>
      <c r="L110" s="14"/>
      <c r="M110" s="14"/>
      <c r="N110" s="14">
        <f>53780/2/927.3</f>
        <v>28.998166720586649</v>
      </c>
      <c r="O110" s="28"/>
      <c r="P110" s="29"/>
      <c r="Q110" s="132"/>
      <c r="R110" s="14"/>
      <c r="S110" s="14"/>
      <c r="T110" s="14"/>
      <c r="U110" s="15"/>
      <c r="V110" s="132"/>
      <c r="W110" s="14"/>
      <c r="X110" s="14"/>
      <c r="Y110" s="14"/>
      <c r="Z110" s="15"/>
      <c r="AA110" s="44"/>
      <c r="AB110" s="131"/>
      <c r="AC110" s="131"/>
      <c r="AD110" s="47"/>
    </row>
    <row r="111" spans="2:30" s="122" customFormat="1" ht="15.75" thickBot="1" x14ac:dyDescent="0.3">
      <c r="B111" s="281"/>
      <c r="C111" s="160" t="s">
        <v>152</v>
      </c>
      <c r="D111" s="126" t="s">
        <v>153</v>
      </c>
      <c r="E111" s="317">
        <f>120120/2/1112.8</f>
        <v>53.971962616822431</v>
      </c>
      <c r="F111" s="32">
        <f>113120/2/1112.8</f>
        <v>50.82674335010784</v>
      </c>
      <c r="G111" s="32">
        <f>110950/2/1112.8</f>
        <v>49.851725377426312</v>
      </c>
      <c r="H111" s="16">
        <f>111080/2/1112.8</f>
        <v>49.910136592379587</v>
      </c>
      <c r="I111" s="16">
        <f>114820/2/1116.4</f>
        <v>51.424220709423139</v>
      </c>
      <c r="J111" s="191"/>
      <c r="K111" s="18"/>
      <c r="L111" s="16"/>
      <c r="M111" s="16"/>
      <c r="N111" s="16"/>
      <c r="O111" s="16"/>
      <c r="P111" s="17"/>
      <c r="Q111" s="18"/>
      <c r="R111" s="16"/>
      <c r="S111" s="16"/>
      <c r="T111" s="16"/>
      <c r="U111" s="17"/>
      <c r="V111" s="18"/>
      <c r="W111" s="16"/>
      <c r="X111" s="16"/>
      <c r="Y111" s="16"/>
      <c r="Z111" s="17"/>
      <c r="AA111" s="78"/>
      <c r="AB111" s="158"/>
      <c r="AC111" s="158"/>
      <c r="AD111" s="49"/>
    </row>
    <row r="112" spans="2:30" s="122" customFormat="1" x14ac:dyDescent="0.25">
      <c r="B112" s="296" t="s">
        <v>119</v>
      </c>
      <c r="C112" s="155">
        <v>36959</v>
      </c>
      <c r="D112" s="181" t="s">
        <v>49</v>
      </c>
      <c r="E112" s="318">
        <f>138130/2/1121</f>
        <v>61.610169491525426</v>
      </c>
      <c r="F112" s="319">
        <f>131130/2/1121</f>
        <v>58.487957181088312</v>
      </c>
      <c r="G112" s="320">
        <f>129210/2/1121</f>
        <v>57.631578947368418</v>
      </c>
      <c r="H112" s="320">
        <f>129640/2/1121</f>
        <v>57.823371989295275</v>
      </c>
      <c r="I112" s="135"/>
      <c r="J112" s="136"/>
      <c r="K112" s="152">
        <f>62870/2/896.8</f>
        <v>35.052408563782336</v>
      </c>
      <c r="L112" s="142">
        <f>55870/2/896.8</f>
        <v>31.149643175735953</v>
      </c>
      <c r="M112" s="142">
        <f>58940/2/896.8</f>
        <v>32.86128456735058</v>
      </c>
      <c r="N112" s="142">
        <f>61280/2/896.8</f>
        <v>34.165923282783233</v>
      </c>
      <c r="O112" s="142">
        <f>61280/2/896.8</f>
        <v>34.165923282783233</v>
      </c>
      <c r="P112" s="143"/>
      <c r="Q112" s="144">
        <f>78580/2/1121</f>
        <v>35.049063336306865</v>
      </c>
      <c r="R112" s="135"/>
      <c r="S112" s="135"/>
      <c r="T112" s="135"/>
      <c r="U112" s="136"/>
      <c r="V112" s="144"/>
      <c r="W112" s="135"/>
      <c r="X112" s="135"/>
      <c r="Y112" s="135"/>
      <c r="Z112" s="123"/>
      <c r="AA112" s="135"/>
      <c r="AB112" s="135"/>
      <c r="AC112" s="135"/>
      <c r="AD112" s="136"/>
    </row>
    <row r="113" spans="2:30" s="122" customFormat="1" x14ac:dyDescent="0.25">
      <c r="B113" s="297"/>
      <c r="C113" s="151">
        <v>38055</v>
      </c>
      <c r="D113" s="163" t="s">
        <v>65</v>
      </c>
      <c r="E113" s="183">
        <f>138130/2/1121</f>
        <v>61.610169491525426</v>
      </c>
      <c r="F113" s="182">
        <f>131130/2/1121</f>
        <v>58.487957181088312</v>
      </c>
      <c r="G113" s="145">
        <f>129210/2/1121</f>
        <v>57.631578947368418</v>
      </c>
      <c r="H113" s="145">
        <f>129640/2/1121</f>
        <v>57.823371989295275</v>
      </c>
      <c r="I113" s="142"/>
      <c r="J113" s="143"/>
      <c r="K113" s="146"/>
      <c r="L113" s="134"/>
      <c r="M113" s="134"/>
      <c r="N113" s="134"/>
      <c r="O113" s="134"/>
      <c r="P113" s="137"/>
      <c r="Q113" s="146"/>
      <c r="R113" s="142"/>
      <c r="S113" s="142"/>
      <c r="T113" s="142"/>
      <c r="U113" s="143"/>
      <c r="V113" s="152"/>
      <c r="W113" s="142"/>
      <c r="X113" s="142"/>
      <c r="Y113" s="142"/>
      <c r="Z113" s="149"/>
      <c r="AA113" s="142"/>
      <c r="AB113" s="142"/>
      <c r="AC113" s="142"/>
      <c r="AD113" s="143"/>
    </row>
    <row r="114" spans="2:30" s="122" customFormat="1" x14ac:dyDescent="0.25">
      <c r="B114" s="298"/>
      <c r="C114" s="151">
        <v>37330</v>
      </c>
      <c r="D114" s="162" t="s">
        <v>43</v>
      </c>
      <c r="E114" s="80"/>
      <c r="F114" s="182">
        <f>131130/2/1121</f>
        <v>58.487957181088312</v>
      </c>
      <c r="G114" s="145">
        <f>129210/2/1121</f>
        <v>57.631578947368418</v>
      </c>
      <c r="H114" s="145">
        <f>129640/2/1121</f>
        <v>57.823371989295275</v>
      </c>
      <c r="I114" s="134"/>
      <c r="J114" s="137"/>
      <c r="K114" s="146">
        <f>62870/2/896.8</f>
        <v>35.052408563782336</v>
      </c>
      <c r="L114" s="134">
        <f>55870/2/896.8</f>
        <v>31.149643175735953</v>
      </c>
      <c r="M114" s="134">
        <f>58940/2/896.8</f>
        <v>32.86128456735058</v>
      </c>
      <c r="N114" s="134">
        <f t="shared" ref="N114:O116" si="1">61280/2/896.8</f>
        <v>34.165923282783233</v>
      </c>
      <c r="O114" s="134">
        <f t="shared" si="1"/>
        <v>34.165923282783233</v>
      </c>
      <c r="P114" s="137"/>
      <c r="Q114" s="146">
        <f>78580/2/1121</f>
        <v>35.049063336306865</v>
      </c>
      <c r="R114" s="134"/>
      <c r="S114" s="134"/>
      <c r="T114" s="134"/>
      <c r="U114" s="58"/>
      <c r="V114" s="146"/>
      <c r="W114" s="134"/>
      <c r="X114" s="134"/>
      <c r="Y114" s="134"/>
      <c r="Z114" s="124"/>
      <c r="AA114" s="134"/>
      <c r="AB114" s="134"/>
      <c r="AC114" s="134"/>
      <c r="AD114" s="137"/>
    </row>
    <row r="115" spans="2:30" s="122" customFormat="1" x14ac:dyDescent="0.25">
      <c r="B115" s="298"/>
      <c r="C115" s="151">
        <v>38426</v>
      </c>
      <c r="D115" s="162" t="s">
        <v>44</v>
      </c>
      <c r="E115" s="80">
        <f>134940/2/1121</f>
        <v>60.187332738626225</v>
      </c>
      <c r="F115" s="308">
        <f>131130/2/1121</f>
        <v>58.487957181088312</v>
      </c>
      <c r="G115" s="182">
        <f>129210/2/1121</f>
        <v>57.631578947368418</v>
      </c>
      <c r="H115" s="145">
        <f>129640/2/1121</f>
        <v>57.823371989295275</v>
      </c>
      <c r="I115" s="134"/>
      <c r="J115" s="137"/>
      <c r="K115" s="146">
        <f>62870/2/896.8</f>
        <v>35.052408563782336</v>
      </c>
      <c r="L115" s="134">
        <f>55870/2/896.8</f>
        <v>31.149643175735953</v>
      </c>
      <c r="M115" s="134">
        <f>58940/2/896.8</f>
        <v>32.86128456735058</v>
      </c>
      <c r="N115" s="134">
        <f t="shared" si="1"/>
        <v>34.165923282783233</v>
      </c>
      <c r="O115" s="134">
        <f t="shared" si="1"/>
        <v>34.165923282783233</v>
      </c>
      <c r="P115" s="137"/>
      <c r="Q115" s="146">
        <f>78580/2/1121</f>
        <v>35.049063336306865</v>
      </c>
      <c r="R115" s="134"/>
      <c r="S115" s="134"/>
      <c r="T115" s="134"/>
      <c r="U115" s="58"/>
      <c r="V115" s="146"/>
      <c r="W115" s="134"/>
      <c r="X115" s="134"/>
      <c r="Y115" s="134"/>
      <c r="Z115" s="124"/>
      <c r="AA115" s="134"/>
      <c r="AB115" s="134"/>
      <c r="AC115" s="134"/>
      <c r="AD115" s="137"/>
    </row>
    <row r="116" spans="2:30" s="122" customFormat="1" x14ac:dyDescent="0.25">
      <c r="B116" s="298"/>
      <c r="C116" s="151">
        <v>36968</v>
      </c>
      <c r="D116" s="162" t="s">
        <v>79</v>
      </c>
      <c r="E116" s="80">
        <f>134940/2/1121</f>
        <v>60.187332738626225</v>
      </c>
      <c r="F116" s="308">
        <f>131130/2/1121</f>
        <v>58.487957181088312</v>
      </c>
      <c r="G116" s="145">
        <f>129210/2/1121</f>
        <v>57.631578947368418</v>
      </c>
      <c r="H116" s="145">
        <f>129640/2/1121</f>
        <v>57.823371989295275</v>
      </c>
      <c r="I116" s="134"/>
      <c r="J116" s="137"/>
      <c r="K116" s="146">
        <f>62870/2/896.8</f>
        <v>35.052408563782336</v>
      </c>
      <c r="L116" s="134">
        <f>55870/2/896.8</f>
        <v>31.149643175735953</v>
      </c>
      <c r="M116" s="134">
        <f>58940/2/896.8</f>
        <v>32.86128456735058</v>
      </c>
      <c r="N116" s="134">
        <f t="shared" si="1"/>
        <v>34.165923282783233</v>
      </c>
      <c r="O116" s="134">
        <f t="shared" si="1"/>
        <v>34.165923282783233</v>
      </c>
      <c r="P116" s="137"/>
      <c r="Q116" s="146">
        <f>78580/2/1121</f>
        <v>35.049063336306865</v>
      </c>
      <c r="R116" s="134"/>
      <c r="S116" s="134"/>
      <c r="T116" s="134"/>
      <c r="U116" s="58"/>
      <c r="V116" s="146"/>
      <c r="W116" s="134"/>
      <c r="X116" s="134"/>
      <c r="Y116" s="134"/>
      <c r="Z116" s="124"/>
      <c r="AA116" s="134"/>
      <c r="AB116" s="134"/>
      <c r="AC116" s="134"/>
      <c r="AD116" s="137"/>
    </row>
    <row r="117" spans="2:30" s="122" customFormat="1" x14ac:dyDescent="0.25">
      <c r="B117" s="298"/>
      <c r="C117" s="151">
        <v>36999</v>
      </c>
      <c r="D117" s="112" t="s">
        <v>80</v>
      </c>
      <c r="E117" s="315">
        <f>143770/2/1080</f>
        <v>66.56018518518519</v>
      </c>
      <c r="F117" s="14">
        <f>139660/2/1080</f>
        <v>64.657407407407405</v>
      </c>
      <c r="G117" s="145"/>
      <c r="H117" s="145"/>
      <c r="I117" s="134"/>
      <c r="J117" s="137"/>
      <c r="K117" s="146"/>
      <c r="L117" s="134"/>
      <c r="M117" s="134"/>
      <c r="N117" s="134"/>
      <c r="O117" s="134"/>
      <c r="P117" s="137"/>
      <c r="Q117" s="146"/>
      <c r="R117" s="134"/>
      <c r="S117" s="134"/>
      <c r="T117" s="134"/>
      <c r="U117" s="58"/>
      <c r="V117" s="14"/>
      <c r="W117" s="134"/>
      <c r="X117" s="134"/>
      <c r="Y117" s="134"/>
      <c r="Z117" s="124"/>
      <c r="AA117" s="134"/>
      <c r="AB117" s="134"/>
      <c r="AC117" s="134"/>
      <c r="AD117" s="137"/>
    </row>
    <row r="118" spans="2:30" s="122" customFormat="1" x14ac:dyDescent="0.25">
      <c r="B118" s="298"/>
      <c r="C118" s="151">
        <v>36970</v>
      </c>
      <c r="D118" s="162" t="s">
        <v>78</v>
      </c>
      <c r="E118" s="80"/>
      <c r="F118" s="145"/>
      <c r="G118" s="145"/>
      <c r="H118" s="145"/>
      <c r="I118" s="134"/>
      <c r="J118" s="137"/>
      <c r="K118" s="146"/>
      <c r="L118" s="134"/>
      <c r="M118" s="134"/>
      <c r="N118" s="134"/>
      <c r="O118" s="134">
        <f>61280/2/896.8</f>
        <v>34.165923282783233</v>
      </c>
      <c r="P118" s="137"/>
      <c r="Q118" s="146"/>
      <c r="R118" s="134"/>
      <c r="S118" s="134"/>
      <c r="T118" s="134"/>
      <c r="U118" s="58"/>
      <c r="V118" s="146"/>
      <c r="W118" s="134"/>
      <c r="X118" s="134"/>
      <c r="Y118" s="134"/>
      <c r="Z118" s="124"/>
      <c r="AA118" s="134"/>
      <c r="AB118" s="134"/>
      <c r="AC118" s="134"/>
      <c r="AD118" s="137"/>
    </row>
    <row r="119" spans="2:30" s="122" customFormat="1" x14ac:dyDescent="0.25">
      <c r="B119" s="298"/>
      <c r="C119" s="151">
        <v>36971</v>
      </c>
      <c r="D119" s="162" t="s">
        <v>15</v>
      </c>
      <c r="E119" s="80">
        <f>169170/2/1121</f>
        <v>75.454950936663693</v>
      </c>
      <c r="F119" s="145">
        <f>162170/2/1121</f>
        <v>72.332738626226586</v>
      </c>
      <c r="G119" s="145"/>
      <c r="H119" s="145">
        <f>177920/2/1121</f>
        <v>79.357716324710083</v>
      </c>
      <c r="I119" s="134"/>
      <c r="J119" s="137"/>
      <c r="K119" s="146"/>
      <c r="L119" s="134"/>
      <c r="M119" s="134"/>
      <c r="N119" s="134"/>
      <c r="O119" s="134"/>
      <c r="P119" s="137"/>
      <c r="Q119" s="146"/>
      <c r="R119" s="134"/>
      <c r="S119" s="134"/>
      <c r="T119" s="133"/>
      <c r="U119" s="58"/>
      <c r="V119" s="14">
        <f>91090/2/896.8</f>
        <v>50.786128456735064</v>
      </c>
      <c r="W119" s="14">
        <f>84090/2/896.8</f>
        <v>46.883363068688674</v>
      </c>
      <c r="X119" s="14"/>
      <c r="Y119" s="14"/>
      <c r="Z119" s="14">
        <f>92250/2/896.8</f>
        <v>51.432872435325606</v>
      </c>
      <c r="AA119" s="83">
        <f>113860/2/1121</f>
        <v>50.785013380909902</v>
      </c>
      <c r="AB119" s="134"/>
      <c r="AC119" s="134"/>
      <c r="AD119" s="137"/>
    </row>
    <row r="120" spans="2:30" s="122" customFormat="1" x14ac:dyDescent="0.25">
      <c r="B120" s="298"/>
      <c r="C120" s="151">
        <v>36972</v>
      </c>
      <c r="D120" s="162" t="s">
        <v>75</v>
      </c>
      <c r="E120" s="80"/>
      <c r="F120" s="145"/>
      <c r="G120" s="145"/>
      <c r="H120" s="145"/>
      <c r="I120" s="134"/>
      <c r="J120" s="137"/>
      <c r="K120" s="146"/>
      <c r="L120" s="134"/>
      <c r="M120" s="134"/>
      <c r="N120" s="134"/>
      <c r="O120" s="134"/>
      <c r="P120" s="137"/>
      <c r="Q120" s="146"/>
      <c r="R120" s="134"/>
      <c r="S120" s="134"/>
      <c r="T120" s="133"/>
      <c r="U120" s="58"/>
      <c r="V120" s="146"/>
      <c r="W120" s="134"/>
      <c r="X120" s="134"/>
      <c r="Y120" s="134"/>
      <c r="Z120" s="124"/>
      <c r="AA120" s="134"/>
      <c r="AB120" s="134"/>
      <c r="AC120" s="134"/>
      <c r="AD120" s="137"/>
    </row>
    <row r="121" spans="2:30" s="122" customFormat="1" ht="15.75" thickBot="1" x14ac:dyDescent="0.3">
      <c r="B121" s="299"/>
      <c r="C121" s="74">
        <v>38440</v>
      </c>
      <c r="D121" s="161" t="s">
        <v>139</v>
      </c>
      <c r="E121" s="321">
        <f>134940/2/1121</f>
        <v>60.187332738626225</v>
      </c>
      <c r="F121" s="309">
        <f>131130/2/1121</f>
        <v>58.487957181088312</v>
      </c>
      <c r="G121" s="180"/>
      <c r="H121" s="180"/>
      <c r="I121" s="140"/>
      <c r="J121" s="141"/>
      <c r="K121" s="148">
        <f>62870/2/896.8</f>
        <v>35.052408563782336</v>
      </c>
      <c r="L121" s="140"/>
      <c r="M121" s="180"/>
      <c r="N121" s="180"/>
      <c r="O121" s="180"/>
      <c r="P121" s="141"/>
      <c r="Q121" s="148">
        <f>78580/2/1121</f>
        <v>35.049063336306865</v>
      </c>
      <c r="R121" s="140"/>
      <c r="S121" s="140"/>
      <c r="T121" s="140"/>
      <c r="U121" s="141"/>
      <c r="V121" s="148"/>
      <c r="W121" s="140"/>
      <c r="X121" s="140"/>
      <c r="Y121" s="140"/>
      <c r="Z121" s="126"/>
      <c r="AA121" s="140"/>
      <c r="AB121" s="140"/>
      <c r="AC121" s="140"/>
      <c r="AD121" s="141"/>
    </row>
    <row r="122" spans="2:30" s="122" customFormat="1" ht="15" hidden="1" customHeight="1" x14ac:dyDescent="0.25">
      <c r="B122" s="100"/>
      <c r="C122" s="155">
        <v>37661</v>
      </c>
      <c r="D122" s="156" t="s">
        <v>136</v>
      </c>
      <c r="E122" s="168"/>
      <c r="F122" s="169"/>
      <c r="G122" s="170"/>
      <c r="H122" s="170">
        <f>55910/2/830.2</f>
        <v>33.672609009877135</v>
      </c>
      <c r="I122" s="170"/>
      <c r="J122" s="171"/>
      <c r="K122" s="103"/>
      <c r="L122" s="101"/>
      <c r="M122" s="101"/>
      <c r="N122" s="101"/>
      <c r="O122" s="101"/>
      <c r="P122" s="102"/>
      <c r="Q122" s="104"/>
      <c r="R122" s="164"/>
      <c r="S122" s="164"/>
      <c r="T122" s="164"/>
      <c r="U122" s="164"/>
      <c r="V122" s="166"/>
      <c r="W122" s="164"/>
      <c r="X122" s="164"/>
      <c r="Y122" s="164"/>
      <c r="Z122" s="167"/>
      <c r="AA122" s="164"/>
      <c r="AB122" s="164"/>
      <c r="AC122" s="164"/>
      <c r="AD122" s="165"/>
    </row>
    <row r="123" spans="2:30" s="67" customFormat="1" ht="12" customHeight="1" x14ac:dyDescent="0.3">
      <c r="C123" s="233"/>
    </row>
    <row r="124" spans="2:30" s="67" customFormat="1" ht="18.75" x14ac:dyDescent="0.3">
      <c r="C124" s="233"/>
    </row>
    <row r="125" spans="2:30" s="67" customFormat="1" ht="18.75" x14ac:dyDescent="0.3">
      <c r="C125" s="233"/>
      <c r="E125" s="67" t="s">
        <v>229</v>
      </c>
      <c r="S125" s="67" t="s">
        <v>209</v>
      </c>
    </row>
    <row r="126" spans="2:30" s="67" customFormat="1" ht="18.75" x14ac:dyDescent="0.3">
      <c r="C126" s="233"/>
    </row>
    <row r="127" spans="2:30" s="40" customFormat="1" ht="18.75" x14ac:dyDescent="0.3">
      <c r="C127" s="234"/>
      <c r="S127" s="67"/>
      <c r="T127" s="67"/>
      <c r="U127" s="67"/>
    </row>
    <row r="128" spans="2:30" s="40" customFormat="1" ht="18.75" x14ac:dyDescent="0.3">
      <c r="C128" s="234"/>
      <c r="E128" s="276" t="s">
        <v>230</v>
      </c>
      <c r="F128" s="276"/>
      <c r="G128" s="276"/>
      <c r="H128" s="276"/>
      <c r="I128" s="276"/>
      <c r="J128" s="276"/>
      <c r="K128" s="276"/>
      <c r="L128" s="276"/>
      <c r="M128" s="276"/>
      <c r="S128" s="67" t="s">
        <v>210</v>
      </c>
      <c r="T128" s="67"/>
      <c r="U128" s="67"/>
    </row>
    <row r="129" spans="5:21" ht="18.75" x14ac:dyDescent="0.3">
      <c r="E129" s="67"/>
      <c r="F129" s="67"/>
      <c r="G129" s="67"/>
      <c r="H129" s="67"/>
      <c r="I129" s="67"/>
      <c r="J129" s="67"/>
      <c r="K129" s="67"/>
      <c r="L129" s="67"/>
      <c r="M129" s="67"/>
      <c r="S129" s="67"/>
      <c r="T129" s="67"/>
      <c r="U129" s="67"/>
    </row>
    <row r="130" spans="5:21" ht="18.75" x14ac:dyDescent="0.3">
      <c r="E130" s="40"/>
      <c r="F130" s="40"/>
      <c r="G130" s="40"/>
      <c r="H130" s="40"/>
      <c r="I130" s="40"/>
      <c r="J130" s="40"/>
      <c r="K130" s="40"/>
      <c r="L130" s="40"/>
      <c r="M130" s="40"/>
      <c r="S130" s="40"/>
      <c r="T130" s="40"/>
      <c r="U130" s="40"/>
    </row>
    <row r="131" spans="5:21" ht="18.75" x14ac:dyDescent="0.3">
      <c r="E131" s="40" t="s">
        <v>211</v>
      </c>
      <c r="F131" s="40"/>
      <c r="G131" s="40"/>
      <c r="H131" s="40"/>
      <c r="I131" s="40"/>
      <c r="J131" s="40"/>
      <c r="K131" s="40"/>
      <c r="L131" s="40"/>
      <c r="M131" s="40"/>
      <c r="S131" s="40" t="s">
        <v>212</v>
      </c>
      <c r="T131" s="40"/>
      <c r="U131" s="40"/>
    </row>
  </sheetData>
  <mergeCells count="20">
    <mergeCell ref="AC7:AD7"/>
    <mergeCell ref="B8:B9"/>
    <mergeCell ref="C8:C9"/>
    <mergeCell ref="D8:D9"/>
    <mergeCell ref="E8:J8"/>
    <mergeCell ref="K8:P8"/>
    <mergeCell ref="Q8:U8"/>
    <mergeCell ref="E128:M128"/>
    <mergeCell ref="B4:AD4"/>
    <mergeCell ref="B60:B82"/>
    <mergeCell ref="B83:B87"/>
    <mergeCell ref="B88:B111"/>
    <mergeCell ref="B112:B121"/>
    <mergeCell ref="V8:Z8"/>
    <mergeCell ref="AA8:AD8"/>
    <mergeCell ref="B10:B25"/>
    <mergeCell ref="B26:B37"/>
    <mergeCell ref="B38:B44"/>
    <mergeCell ref="B45:B59"/>
    <mergeCell ref="B6:Z6"/>
  </mergeCells>
  <pageMargins left="0.19685039370078741" right="0.19685039370078741" top="0.39370078740157483" bottom="0.3937007874015748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РФ</vt:lpstr>
      <vt:lpstr> иностранцы</vt:lpstr>
      <vt:lpstr>Лист3</vt:lpstr>
    </vt:vector>
  </TitlesOfParts>
  <Company>СГТУ имени Гагарина Ю.А.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smirnovatap</dc:creator>
  <cp:lastModifiedBy>Дружинина Ирина Александровна</cp:lastModifiedBy>
  <cp:lastPrinted>2024-05-07T10:25:17Z</cp:lastPrinted>
  <dcterms:created xsi:type="dcterms:W3CDTF">2017-03-07T10:36:07Z</dcterms:created>
  <dcterms:modified xsi:type="dcterms:W3CDTF">2024-05-07T10:27:05Z</dcterms:modified>
</cp:coreProperties>
</file>